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412" tabRatio="762" activeTab="34"/>
  </bookViews>
  <sheets>
    <sheet name="1987" sheetId="1" r:id="rId1"/>
    <sheet name="1988" sheetId="2" r:id="rId2"/>
    <sheet name="1989" sheetId="3" r:id="rId3"/>
    <sheet name="1990" sheetId="4" r:id="rId4"/>
    <sheet name="1991" sheetId="5" r:id="rId5"/>
    <sheet name="1992" sheetId="6" r:id="rId6"/>
    <sheet name="1993" sheetId="7" r:id="rId7"/>
    <sheet name="1994" sheetId="8" r:id="rId8"/>
    <sheet name="1995" sheetId="9" r:id="rId9"/>
    <sheet name="1996" sheetId="10" r:id="rId10"/>
    <sheet name="1997" sheetId="11" r:id="rId11"/>
    <sheet name="1998" sheetId="12" r:id="rId12"/>
    <sheet name="1999" sheetId="13" r:id="rId13"/>
    <sheet name="2000" sheetId="14" r:id="rId14"/>
    <sheet name="2001" sheetId="15" r:id="rId15"/>
    <sheet name="2002" sheetId="16" r:id="rId16"/>
    <sheet name="2003" sheetId="17" r:id="rId17"/>
    <sheet name="2004" sheetId="18" r:id="rId18"/>
    <sheet name="2005" sheetId="19" r:id="rId19"/>
    <sheet name="2006" sheetId="20" r:id="rId20"/>
    <sheet name="2007" sheetId="21" r:id="rId21"/>
    <sheet name="2008" sheetId="22" r:id="rId22"/>
    <sheet name="2009" sheetId="23" r:id="rId23"/>
    <sheet name="2010" sheetId="24" r:id="rId24"/>
    <sheet name="2011" sheetId="25" r:id="rId25"/>
    <sheet name="2012" sheetId="26" r:id="rId26"/>
    <sheet name="2013" sheetId="27" r:id="rId27"/>
    <sheet name="2014" sheetId="28" r:id="rId28"/>
    <sheet name="2015" sheetId="29" r:id="rId29"/>
    <sheet name="2016" sheetId="30" r:id="rId30"/>
    <sheet name="2017" sheetId="31" r:id="rId31"/>
    <sheet name="2018" sheetId="32" r:id="rId32"/>
    <sheet name="2019" sheetId="33" r:id="rId33"/>
    <sheet name="2020" sheetId="34" r:id="rId34"/>
    <sheet name="2021" sheetId="35" r:id="rId35"/>
  </sheets>
  <definedNames/>
  <calcPr fullCalcOnLoad="1"/>
</workbook>
</file>

<file path=xl/sharedStrings.xml><?xml version="1.0" encoding="utf-8"?>
<sst xmlns="http://schemas.openxmlformats.org/spreadsheetml/2006/main" count="4089" uniqueCount="866">
  <si>
    <t>Kl. Münsterländer</t>
  </si>
  <si>
    <t>Total</t>
  </si>
  <si>
    <t>Brug af hanhunde 1987</t>
  </si>
  <si>
    <t>Stb. nr.</t>
  </si>
  <si>
    <t>Parr.</t>
  </si>
  <si>
    <t>Tomme</t>
  </si>
  <si>
    <t>Hanner</t>
  </si>
  <si>
    <t>Tæver</t>
  </si>
  <si>
    <t>I alt</t>
  </si>
  <si>
    <t>I alt i %</t>
  </si>
  <si>
    <t>parr.</t>
  </si>
  <si>
    <t>hvalpe</t>
  </si>
  <si>
    <t>% sidste 5 år</t>
  </si>
  <si>
    <t>Bemærkninger</t>
  </si>
  <si>
    <t>Daks</t>
  </si>
  <si>
    <t>23250/84</t>
  </si>
  <si>
    <t>Castro</t>
  </si>
  <si>
    <t>22461/83</t>
  </si>
  <si>
    <t>Tok</t>
  </si>
  <si>
    <t>34446/80</t>
  </si>
  <si>
    <t>Juka Bantu</t>
  </si>
  <si>
    <t>14497/81</t>
  </si>
  <si>
    <t>Zeus</t>
  </si>
  <si>
    <t>02726/83</t>
  </si>
  <si>
    <t>Ascoboy</t>
  </si>
  <si>
    <t>21285/75</t>
  </si>
  <si>
    <t>Charlie</t>
  </si>
  <si>
    <t>22462/83</t>
  </si>
  <si>
    <t>02224/83</t>
  </si>
  <si>
    <t>Tass</t>
  </si>
  <si>
    <t>21456/80</t>
  </si>
  <si>
    <t>Dino</t>
  </si>
  <si>
    <t>23249/84</t>
  </si>
  <si>
    <t>Buster</t>
  </si>
  <si>
    <t>06714/85</t>
  </si>
  <si>
    <t>Cladyss Gray</t>
  </si>
  <si>
    <t>32457/80</t>
  </si>
  <si>
    <t>Scott</t>
  </si>
  <si>
    <t>21189/82</t>
  </si>
  <si>
    <t>Bølle</t>
  </si>
  <si>
    <t>07794/82</t>
  </si>
  <si>
    <t>Cladyss Eich</t>
  </si>
  <si>
    <t>11383/79</t>
  </si>
  <si>
    <t>Mickey</t>
  </si>
  <si>
    <t>23556/74</t>
  </si>
  <si>
    <t xml:space="preserve">Asco </t>
  </si>
  <si>
    <t>07093/82</t>
  </si>
  <si>
    <t>Hassan</t>
  </si>
  <si>
    <t>22230/83</t>
  </si>
  <si>
    <t>Daffy</t>
  </si>
  <si>
    <t>21703/80</t>
  </si>
  <si>
    <t>Effektiv population</t>
  </si>
  <si>
    <t>Brug af hanhunde 1988</t>
  </si>
  <si>
    <t>Hedemarken's Asco</t>
  </si>
  <si>
    <t>09994/86</t>
  </si>
  <si>
    <t>Donkey</t>
  </si>
  <si>
    <t>28432/85</t>
  </si>
  <si>
    <t>Chang</t>
  </si>
  <si>
    <t>28837/80</t>
  </si>
  <si>
    <t>Ingo vom Rehwinkel</t>
  </si>
  <si>
    <t>Rusca</t>
  </si>
  <si>
    <t>09551/86</t>
  </si>
  <si>
    <t>Astor</t>
  </si>
  <si>
    <t>12635/82</t>
  </si>
  <si>
    <t>Brug af hanhunde 1989</t>
  </si>
  <si>
    <t>parr</t>
  </si>
  <si>
    <t>Buller</t>
  </si>
  <si>
    <t>25472/84</t>
  </si>
  <si>
    <t>02223/83</t>
  </si>
  <si>
    <t>04446/80</t>
  </si>
  <si>
    <t>Attiko</t>
  </si>
  <si>
    <t>02199/87</t>
  </si>
  <si>
    <t>Ricky</t>
  </si>
  <si>
    <t>25271/84</t>
  </si>
  <si>
    <t>Conrad</t>
  </si>
  <si>
    <t>03114/86</t>
  </si>
  <si>
    <t>Zanto</t>
  </si>
  <si>
    <t>09552/86</t>
  </si>
  <si>
    <t>Brug af hanhunde 1990</t>
  </si>
  <si>
    <t>Dargo von der Jägerklamm</t>
  </si>
  <si>
    <t>Bonzo</t>
  </si>
  <si>
    <t>17824/87</t>
  </si>
  <si>
    <t>Hedemarkens Asco</t>
  </si>
  <si>
    <t>Ronny ( Rex )</t>
  </si>
  <si>
    <t>13974/88</t>
  </si>
  <si>
    <t>Astro</t>
  </si>
  <si>
    <t>02198/87</t>
  </si>
  <si>
    <t>19104/86</t>
  </si>
  <si>
    <t>Højægers Argo</t>
  </si>
  <si>
    <t>13867/88</t>
  </si>
  <si>
    <t>Brug af hanhunde 1991</t>
  </si>
  <si>
    <t>Daff</t>
  </si>
  <si>
    <t>28433/85</t>
  </si>
  <si>
    <t>Dick</t>
  </si>
  <si>
    <t>28430/85</t>
  </si>
  <si>
    <t xml:space="preserve">Balder </t>
  </si>
  <si>
    <t>13804/88</t>
  </si>
  <si>
    <t>Rici</t>
  </si>
  <si>
    <t>15987/82</t>
  </si>
  <si>
    <t>Dux von der Windmühle</t>
  </si>
  <si>
    <t>Uldjydens Monzon</t>
  </si>
  <si>
    <t>27103/87</t>
  </si>
  <si>
    <t>Brug af hanhunde 1992</t>
  </si>
  <si>
    <t>Balder</t>
  </si>
  <si>
    <t>Uldjydens C. Ciggo</t>
  </si>
  <si>
    <t>8290/89</t>
  </si>
  <si>
    <t>Trold</t>
  </si>
  <si>
    <t>13942/89</t>
  </si>
  <si>
    <t>06714/86</t>
  </si>
  <si>
    <t>26430/85</t>
  </si>
  <si>
    <t>12726/83</t>
  </si>
  <si>
    <t>18654/87</t>
  </si>
  <si>
    <t>Zicha</t>
  </si>
  <si>
    <t>04901/90</t>
  </si>
  <si>
    <t>Arki</t>
  </si>
  <si>
    <t>01542/89</t>
  </si>
  <si>
    <t>Igor von der Frisischen Wehde</t>
  </si>
  <si>
    <t>0972-89</t>
  </si>
  <si>
    <t>Hedemarken's Cato</t>
  </si>
  <si>
    <t>16341/89</t>
  </si>
  <si>
    <t>Bayard Vom Könichsbach</t>
  </si>
  <si>
    <t>0412-85</t>
  </si>
  <si>
    <t>18232/86</t>
  </si>
  <si>
    <t>Zacho</t>
  </si>
  <si>
    <t>12532/90</t>
  </si>
  <si>
    <t>Farum Adam</t>
  </si>
  <si>
    <t>26306/87</t>
  </si>
  <si>
    <t>Brug af hanhunde 1993</t>
  </si>
  <si>
    <t>Bemærkninger 1993</t>
  </si>
  <si>
    <t>09994/88</t>
  </si>
  <si>
    <t>18657/87</t>
  </si>
  <si>
    <t>12 hvalpe, alle døde</t>
  </si>
  <si>
    <t>08290/89</t>
  </si>
  <si>
    <t>Marco</t>
  </si>
  <si>
    <t>03621/89</t>
  </si>
  <si>
    <t>02726/82</t>
  </si>
  <si>
    <t>Amorsamson</t>
  </si>
  <si>
    <t>32516/85</t>
  </si>
  <si>
    <t>Cass</t>
  </si>
  <si>
    <t>20111/88</t>
  </si>
  <si>
    <t>Ikke godkendt af DMK</t>
  </si>
  <si>
    <t>Han</t>
  </si>
  <si>
    <t>tæve</t>
  </si>
  <si>
    <t>45,03 er formentlig beregnet uden at tage hensyn til ikke godkendte parringer med 5 stk. hanhunde.</t>
  </si>
  <si>
    <t>Hvis disse medregnes bliver den effektive population 54,1</t>
  </si>
  <si>
    <t>Med 50 tævers reglen bliver tallet 71,18</t>
  </si>
  <si>
    <t>Brug af hanhunde 1994</t>
  </si>
  <si>
    <t>Bemærkninger 1994</t>
  </si>
  <si>
    <t>Amigo</t>
  </si>
  <si>
    <t>14666/89</t>
  </si>
  <si>
    <t>Rico</t>
  </si>
  <si>
    <t>13071/91</t>
  </si>
  <si>
    <t>Ferro von der Orbisklinge</t>
  </si>
  <si>
    <t>0550-89</t>
  </si>
  <si>
    <t>Dueholm Tjald</t>
  </si>
  <si>
    <t>01201/92</t>
  </si>
  <si>
    <t>Hulbæk Fister</t>
  </si>
  <si>
    <t>26912/91</t>
  </si>
  <si>
    <t>Lord von der Innleit'n</t>
  </si>
  <si>
    <t>0303-90</t>
  </si>
  <si>
    <t>Farum Calle</t>
  </si>
  <si>
    <t>09101/91</t>
  </si>
  <si>
    <t>Ferry</t>
  </si>
  <si>
    <t>21860/89</t>
  </si>
  <si>
    <t>1 hvalp død</t>
  </si>
  <si>
    <t>Sørvad's Casco-boy</t>
  </si>
  <si>
    <t>12364/91</t>
  </si>
  <si>
    <t>Hedemarken's Cognac</t>
  </si>
  <si>
    <t>16342/89</t>
  </si>
  <si>
    <t>Tæve</t>
  </si>
  <si>
    <t>62,22 er beregnet uden ikke godkendte parringer med 7 hanner.</t>
  </si>
  <si>
    <t>Med disse hanner i beregningen er tallet 78,20</t>
  </si>
  <si>
    <t>Brug af hanhunde 1995</t>
  </si>
  <si>
    <t>Bemærkninger 1995</t>
  </si>
  <si>
    <t>Nix</t>
  </si>
  <si>
    <t>22388/89</t>
  </si>
  <si>
    <t>Hulbæk George</t>
  </si>
  <si>
    <t>20341/92</t>
  </si>
  <si>
    <t>Adonis</t>
  </si>
  <si>
    <t>06479/91</t>
  </si>
  <si>
    <t xml:space="preserve"> </t>
  </si>
  <si>
    <t>Højæger's Bob</t>
  </si>
  <si>
    <t>24681/90</t>
  </si>
  <si>
    <t>Varus von der Overbecher Buche</t>
  </si>
  <si>
    <t>0439-89</t>
  </si>
  <si>
    <t>Basko vom Höftersbusch</t>
  </si>
  <si>
    <t>1145-91</t>
  </si>
  <si>
    <t>Ordo vom Tresssee</t>
  </si>
  <si>
    <t>03120/88</t>
  </si>
  <si>
    <t>Sørvad's Bondo</t>
  </si>
  <si>
    <t>24473/86</t>
  </si>
  <si>
    <t>Olex vom Heeker Eichengrund</t>
  </si>
  <si>
    <t>1695-91</t>
  </si>
  <si>
    <t>Paw</t>
  </si>
  <si>
    <t>14857/92</t>
  </si>
  <si>
    <t>12612/91</t>
  </si>
  <si>
    <t>Cäsar v. Velstover Immengarten</t>
  </si>
  <si>
    <t>0950-91</t>
  </si>
  <si>
    <t>Seiko</t>
  </si>
  <si>
    <t>09513/93</t>
  </si>
  <si>
    <t>1 død hvalp</t>
  </si>
  <si>
    <t>Brug af hanhunde 1996</t>
  </si>
  <si>
    <t>Bemærkninger 1996</t>
  </si>
  <si>
    <t>Astor von der Wolfstange</t>
  </si>
  <si>
    <t>14093/96</t>
  </si>
  <si>
    <t>Ben</t>
  </si>
  <si>
    <t>12307/91</t>
  </si>
  <si>
    <t>Birko</t>
  </si>
  <si>
    <t>26772/92</t>
  </si>
  <si>
    <t>Tokker</t>
  </si>
  <si>
    <t>09383/88</t>
  </si>
  <si>
    <t>Arko</t>
  </si>
  <si>
    <t>19627/87</t>
  </si>
  <si>
    <t>Farum Dusty</t>
  </si>
  <si>
    <t>01141/93</t>
  </si>
  <si>
    <t>Lümmel von der Kronsau'</t>
  </si>
  <si>
    <t>03201/91</t>
  </si>
  <si>
    <t>Uldjydens K. Max</t>
  </si>
  <si>
    <t>05601/93</t>
  </si>
  <si>
    <t>Sako</t>
  </si>
  <si>
    <t>04900/90</t>
  </si>
  <si>
    <t>Varus vom Heeker Eichengrund</t>
  </si>
  <si>
    <t>0734-94</t>
  </si>
  <si>
    <t>Enk von der Orbisklinge</t>
  </si>
  <si>
    <t>1130-86</t>
  </si>
  <si>
    <t>Max</t>
  </si>
  <si>
    <t>28582/93</t>
  </si>
  <si>
    <t>Asco</t>
  </si>
  <si>
    <t>26661/91</t>
  </si>
  <si>
    <t>Nando vom Heeker Eichengrund</t>
  </si>
  <si>
    <t>0381-91</t>
  </si>
  <si>
    <t>19010/92</t>
  </si>
  <si>
    <t>Højægers Bob</t>
  </si>
  <si>
    <t>Hulbæk Getz</t>
  </si>
  <si>
    <t>20342/92</t>
  </si>
  <si>
    <t>Falkentorps Solo-Pepino</t>
  </si>
  <si>
    <t>1 kuld døde</t>
  </si>
  <si>
    <t>13973/88</t>
  </si>
  <si>
    <t>Tot</t>
  </si>
  <si>
    <t>09667/92</t>
  </si>
  <si>
    <t xml:space="preserve">Astor  </t>
  </si>
  <si>
    <t>Brug af hanhunde 1997</t>
  </si>
  <si>
    <t>Uldjydens Nico</t>
  </si>
  <si>
    <t>13055/93</t>
  </si>
  <si>
    <t>Tomme kuld = alle hvalpe døde</t>
  </si>
  <si>
    <t>Illebølle's Arco</t>
  </si>
  <si>
    <t>10085/95</t>
  </si>
  <si>
    <t>Nicko vom Heidepark</t>
  </si>
  <si>
    <t>91-1138</t>
  </si>
  <si>
    <t>Buddy</t>
  </si>
  <si>
    <t>00785/94</t>
  </si>
  <si>
    <t>Ronny ( Rex)</t>
  </si>
  <si>
    <t>Løvmosens Siko</t>
  </si>
  <si>
    <t>02940/95</t>
  </si>
  <si>
    <t>91-0381</t>
  </si>
  <si>
    <t>Lümmel von der Kronsau</t>
  </si>
  <si>
    <t>01144/93</t>
  </si>
  <si>
    <t>Dueholms Tjald</t>
  </si>
  <si>
    <t>Dingo vom Goldbrink</t>
  </si>
  <si>
    <t>90-6000</t>
  </si>
  <si>
    <t>Nestor von der Innleit'n</t>
  </si>
  <si>
    <t>91-1357</t>
  </si>
  <si>
    <t>Niclas vom Fuchseck</t>
  </si>
  <si>
    <t>91-1162</t>
  </si>
  <si>
    <t>Kl. Münsterländer   1998</t>
  </si>
  <si>
    <t>Hvalpe efter hanhunde</t>
  </si>
  <si>
    <t xml:space="preserve">Alf von der Steinlohne  </t>
  </si>
  <si>
    <t>94-0682</t>
  </si>
  <si>
    <t>21437/95</t>
  </si>
  <si>
    <t>Asko von der Wapel</t>
  </si>
  <si>
    <t>96-0537</t>
  </si>
  <si>
    <t>14093/93</t>
  </si>
  <si>
    <t>90-0600</t>
  </si>
  <si>
    <t>Dueholm's Tjald</t>
  </si>
  <si>
    <t>Herbert vom Hesseltal</t>
  </si>
  <si>
    <t>11450/94</t>
  </si>
  <si>
    <t>Illebølle's Ajax</t>
  </si>
  <si>
    <t>10086/95</t>
  </si>
  <si>
    <t>Janko vom Hesseltal</t>
  </si>
  <si>
    <t>02212/96</t>
  </si>
  <si>
    <t>90-0303</t>
  </si>
  <si>
    <t>28582/53</t>
  </si>
  <si>
    <t>Quimba v. d. Dansenbörger Heide</t>
  </si>
  <si>
    <t>93-0066</t>
  </si>
  <si>
    <t>Rocko vom Heidepark</t>
  </si>
  <si>
    <t>93-0714</t>
  </si>
  <si>
    <t>Ronny</t>
  </si>
  <si>
    <t>14721/96</t>
  </si>
  <si>
    <t>Sparvath's Ronny</t>
  </si>
  <si>
    <t>15773/96</t>
  </si>
  <si>
    <t>Sørvad's Casco-Boy</t>
  </si>
  <si>
    <t>13942/98</t>
  </si>
  <si>
    <t xml:space="preserve">Uldjydens K. Max </t>
  </si>
  <si>
    <t>Brug af hanhunde 1999</t>
  </si>
  <si>
    <t>Total parr.</t>
  </si>
  <si>
    <t>Total hvalpe</t>
  </si>
  <si>
    <t>Dux vom Teichhof</t>
  </si>
  <si>
    <t>95-0115</t>
  </si>
  <si>
    <t>Filou von der Katzenlohe</t>
  </si>
  <si>
    <t>95-1063</t>
  </si>
  <si>
    <t>Gildo vom Suchhorn</t>
  </si>
  <si>
    <t>23003/98</t>
  </si>
  <si>
    <t>Højæger's Don</t>
  </si>
  <si>
    <t>17935/94</t>
  </si>
  <si>
    <t>Lümmel von der Krons'au</t>
  </si>
  <si>
    <t>03201-94</t>
  </si>
  <si>
    <t>Løvmosen's Arco</t>
  </si>
  <si>
    <t>02938/95</t>
  </si>
  <si>
    <t xml:space="preserve">Løvmosen's Siko </t>
  </si>
  <si>
    <t>20606/98</t>
  </si>
  <si>
    <t>Olex von der Teufelsbrücke</t>
  </si>
  <si>
    <t>01589/97</t>
  </si>
  <si>
    <t>Quast von Ottenstein</t>
  </si>
  <si>
    <t>93-1127</t>
  </si>
  <si>
    <t>Teddi</t>
  </si>
  <si>
    <t>07412/93</t>
  </si>
  <si>
    <t>Uglemosen's Cliff</t>
  </si>
  <si>
    <t>15640/96</t>
  </si>
  <si>
    <t>Uldjyden'd K. Max</t>
  </si>
  <si>
    <t>Uldjyden's Nico</t>
  </si>
  <si>
    <t>Formeltal:</t>
  </si>
  <si>
    <t>Brug af hanhunde 2000</t>
  </si>
  <si>
    <t>% sidste 5år</t>
  </si>
  <si>
    <t>Basco vom Höftersbusch</t>
  </si>
  <si>
    <t>91-1145</t>
  </si>
  <si>
    <t>1 parr ikke godkendt</t>
  </si>
  <si>
    <t>Fyrkilde's Basil</t>
  </si>
  <si>
    <t>09041/94</t>
  </si>
  <si>
    <t xml:space="preserve">Parr. Ikke godkendt </t>
  </si>
  <si>
    <t>Illebølle's Charlie</t>
  </si>
  <si>
    <t>16591/98</t>
  </si>
  <si>
    <t>Løvmosens Arko</t>
  </si>
  <si>
    <t>Mirko vom Wasserschling</t>
  </si>
  <si>
    <t>95-1332</t>
  </si>
  <si>
    <t>Parr. ikke godkendt</t>
  </si>
  <si>
    <t>Quick vom Tresssee</t>
  </si>
  <si>
    <t>95-0831</t>
  </si>
  <si>
    <t>Uldjyden's K. Max</t>
  </si>
  <si>
    <t>Effektiv population:</t>
  </si>
  <si>
    <t>Ikke godkendt</t>
  </si>
  <si>
    <t>Godkendt</t>
  </si>
  <si>
    <t>Brug af hanhunde 2001</t>
  </si>
  <si>
    <t>Bonjami´s Arcas</t>
  </si>
  <si>
    <t>01394/99</t>
  </si>
  <si>
    <t>Parr. Ikke godkendt</t>
  </si>
  <si>
    <t>Enzo von der Gröben</t>
  </si>
  <si>
    <t>99-0216</t>
  </si>
  <si>
    <t>Junkerstedet's Arki</t>
  </si>
  <si>
    <t>06616/96</t>
  </si>
  <si>
    <t>Løvmosen's Arko</t>
  </si>
  <si>
    <t>Løvmosen's Daks</t>
  </si>
  <si>
    <t>01715/99</t>
  </si>
  <si>
    <t>Quimba vd Dansenbörger Heide</t>
  </si>
  <si>
    <t>Scot</t>
  </si>
  <si>
    <t>23038/97</t>
  </si>
  <si>
    <t>Spankildes Enno</t>
  </si>
  <si>
    <t>10191/96</t>
  </si>
  <si>
    <t>Spankildes Ferro</t>
  </si>
  <si>
    <t>25742/96</t>
  </si>
  <si>
    <t>Trøjborg's Joker</t>
  </si>
  <si>
    <t>22150/95</t>
  </si>
  <si>
    <t>1 parr. Ikke godkendt</t>
  </si>
  <si>
    <t>Trøjborg's Zorro</t>
  </si>
  <si>
    <t>25983/96</t>
  </si>
  <si>
    <t>Uldjydens Rass</t>
  </si>
  <si>
    <t>10649/98</t>
  </si>
  <si>
    <t>Ej godkendte</t>
  </si>
  <si>
    <t>Godkendte</t>
  </si>
  <si>
    <t>tomme</t>
  </si>
  <si>
    <t>Brug af hanhunde 2002</t>
  </si>
  <si>
    <t>Bongo</t>
  </si>
  <si>
    <t>ej godkendt</t>
  </si>
  <si>
    <t>04632/00</t>
  </si>
  <si>
    <t>1 ej godk.</t>
  </si>
  <si>
    <t>19914/98</t>
  </si>
  <si>
    <t>Gildo von der Suchhorn</t>
  </si>
  <si>
    <t>Hedemarkens Dino</t>
  </si>
  <si>
    <t>04854/98</t>
  </si>
  <si>
    <t>Højægers Don</t>
  </si>
  <si>
    <t>Karo</t>
  </si>
  <si>
    <t>13319/97</t>
  </si>
  <si>
    <t>Løvmosens Daks</t>
  </si>
  <si>
    <t xml:space="preserve">Max </t>
  </si>
  <si>
    <t>Nero Von Eusternbach</t>
  </si>
  <si>
    <t>Olex von der Teufelsbrucke</t>
  </si>
  <si>
    <t>Quimba v d Danseburger Heide</t>
  </si>
  <si>
    <t>Rotuas F-Emil</t>
  </si>
  <si>
    <t>00501/00</t>
  </si>
  <si>
    <t>Skot</t>
  </si>
  <si>
    <t>Spangskildes Ferro</t>
  </si>
  <si>
    <t>Sparvaths Ronny</t>
  </si>
  <si>
    <t>Tika</t>
  </si>
  <si>
    <t>05860/00</t>
  </si>
  <si>
    <t>ej godkend</t>
  </si>
  <si>
    <t>Trøjborgs Joker</t>
  </si>
  <si>
    <t xml:space="preserve">Trøjborgs Zorro </t>
  </si>
  <si>
    <t>Uglemosens Cliff</t>
  </si>
  <si>
    <t>Uldjydens K Max</t>
  </si>
  <si>
    <t>Brug af hanhunde</t>
  </si>
  <si>
    <t xml:space="preserve">Aske </t>
  </si>
  <si>
    <t>11123/2001</t>
  </si>
  <si>
    <t>Bonjami Arcas</t>
  </si>
  <si>
    <t>04632/2000</t>
  </si>
  <si>
    <t>Carlo vom Treenetal</t>
  </si>
  <si>
    <t>tysk</t>
  </si>
  <si>
    <t xml:space="preserve">Enzo vom Groben </t>
  </si>
  <si>
    <t>Fyrkilde Casper Klein</t>
  </si>
  <si>
    <t>27809/95</t>
  </si>
  <si>
    <t>Hedemarken Dino</t>
  </si>
  <si>
    <t xml:space="preserve">Højæger Don </t>
  </si>
  <si>
    <t>Illebølle Arco</t>
  </si>
  <si>
    <t>Junkerstedet Arki</t>
  </si>
  <si>
    <t>17319/97</t>
  </si>
  <si>
    <t>Mikki</t>
  </si>
  <si>
    <t>01773/2000</t>
  </si>
  <si>
    <t>Nero vom Eusternbach</t>
  </si>
  <si>
    <t>Olex vom Teufelsbrucke</t>
  </si>
  <si>
    <t>Pan</t>
  </si>
  <si>
    <t>07317/97</t>
  </si>
  <si>
    <t>Rotua F-Emil</t>
  </si>
  <si>
    <t>00501/2001</t>
  </si>
  <si>
    <t>Spangkilde Ferro</t>
  </si>
  <si>
    <t>Spangkilde Junker</t>
  </si>
  <si>
    <t>04946/2001</t>
  </si>
  <si>
    <t>Targo</t>
  </si>
  <si>
    <t>21094/99</t>
  </si>
  <si>
    <t>05860/2000</t>
  </si>
  <si>
    <t>Trøjborg Joker</t>
  </si>
  <si>
    <t>Uldjyden K Max</t>
  </si>
  <si>
    <t>Uldjyden Ras</t>
  </si>
  <si>
    <t>Ej Godkendt</t>
  </si>
  <si>
    <t xml:space="preserve">Brug af hanhunde </t>
  </si>
  <si>
    <t>Bonjamis Arcas</t>
  </si>
  <si>
    <t>Argon von Velsengrund</t>
  </si>
  <si>
    <t>97/0210</t>
  </si>
  <si>
    <t>Astor vom Kiefernvald</t>
  </si>
  <si>
    <t>96-1325</t>
  </si>
  <si>
    <t>Fuglevang Echo</t>
  </si>
  <si>
    <t>07582/2001</t>
  </si>
  <si>
    <t>Horsia Gonzo</t>
  </si>
  <si>
    <t>12428/2002</t>
  </si>
  <si>
    <t>Horsia Remus</t>
  </si>
  <si>
    <t>04748/99</t>
  </si>
  <si>
    <t>Højæger Don</t>
  </si>
  <si>
    <t>Løvmosen Daks</t>
  </si>
  <si>
    <t>Nero von Eusternbach</t>
  </si>
  <si>
    <t>98-0835</t>
  </si>
  <si>
    <t xml:space="preserve">Spangkilde Junker </t>
  </si>
  <si>
    <t>Tjæreborgegnen Turbo</t>
  </si>
  <si>
    <t>14493/2001</t>
  </si>
  <si>
    <t>Trøjborg Zorro</t>
  </si>
  <si>
    <t>Uglemosen Cliff</t>
  </si>
  <si>
    <t>Uldjyden Rass</t>
  </si>
  <si>
    <t>York vom Münsterland</t>
  </si>
  <si>
    <t>18002/97</t>
  </si>
  <si>
    <t>Zar v.d Westerloh-Mühle</t>
  </si>
  <si>
    <t>95-1097</t>
  </si>
  <si>
    <t>Zaro Von Münsterland</t>
  </si>
  <si>
    <t>02661/99</t>
  </si>
  <si>
    <t>Andre</t>
  </si>
  <si>
    <t>8 hanner</t>
  </si>
  <si>
    <t>Ej godkendt</t>
  </si>
  <si>
    <t>Importer</t>
  </si>
  <si>
    <t>Formeltal</t>
  </si>
  <si>
    <t>4*benyttede hanner*fødende tæver/summen af forældre</t>
  </si>
  <si>
    <t>Hvalpetillæg de sidste fem år</t>
  </si>
  <si>
    <t>Bill</t>
  </si>
  <si>
    <t>09352/2002</t>
  </si>
  <si>
    <t>Elverdams Astor</t>
  </si>
  <si>
    <t>20916/99</t>
  </si>
  <si>
    <t>**</t>
  </si>
  <si>
    <t>Lyngbylunds Gerry</t>
  </si>
  <si>
    <t>00472/2002</t>
  </si>
  <si>
    <t>Teis</t>
  </si>
  <si>
    <t>07939/2001</t>
  </si>
  <si>
    <t>Anton von Haus Hessling</t>
  </si>
  <si>
    <t>ZB 01-0821</t>
  </si>
  <si>
    <t>ZB 98-1192</t>
  </si>
  <si>
    <t>Illebølle's Boss</t>
  </si>
  <si>
    <t>06547/97</t>
  </si>
  <si>
    <t>Miki</t>
  </si>
  <si>
    <t>01773/2001</t>
  </si>
  <si>
    <t xml:space="preserve">Uldjydens Kenzo </t>
  </si>
  <si>
    <t>13851/2002</t>
  </si>
  <si>
    <t>1 kuld ej godkendt</t>
  </si>
  <si>
    <t>Sammentælling på lister</t>
  </si>
  <si>
    <t>Kl. Münsterländer 2006</t>
  </si>
  <si>
    <t>Fuglevang's Echo</t>
  </si>
  <si>
    <t>Fuglevang's Farro</t>
  </si>
  <si>
    <t>04950/2003</t>
  </si>
  <si>
    <t>Fürst vom Eulenfelsen</t>
  </si>
  <si>
    <t>ZB 99-0279</t>
  </si>
  <si>
    <t>Hedeskov's Amigo</t>
  </si>
  <si>
    <t>14324/2002</t>
  </si>
  <si>
    <t>Horsia's Ingolf</t>
  </si>
  <si>
    <t>21874/2003</t>
  </si>
  <si>
    <t>Horsia's Ivan</t>
  </si>
  <si>
    <t>21876/2003</t>
  </si>
  <si>
    <t>Horsia's Joker</t>
  </si>
  <si>
    <t>09322/2004</t>
  </si>
  <si>
    <t>Spangkildes Ferro</t>
  </si>
  <si>
    <t xml:space="preserve">Spangkildes Junker </t>
  </si>
  <si>
    <t>I alt godkendte</t>
  </si>
  <si>
    <t>Dingo von der Vogtei</t>
  </si>
  <si>
    <t>16034/2003</t>
  </si>
  <si>
    <t>Horsia's Thor</t>
  </si>
  <si>
    <t>12259/96</t>
  </si>
  <si>
    <r>
      <t xml:space="preserve">King                      </t>
    </r>
    <r>
      <rPr>
        <sz val="10"/>
        <color indexed="10"/>
        <rFont val="Arial"/>
        <family val="2"/>
      </rPr>
      <t>**********</t>
    </r>
  </si>
  <si>
    <t>19009/92</t>
  </si>
  <si>
    <t>(overført fra DRU)</t>
  </si>
  <si>
    <t>Andre fra 2004</t>
  </si>
  <si>
    <t>Ej godkendtre</t>
  </si>
  <si>
    <t>Importer      (skal være fem. Se King)</t>
  </si>
  <si>
    <t xml:space="preserve"> MED IMPORTER</t>
  </si>
  <si>
    <t xml:space="preserve"> UDEN IMPORTER</t>
  </si>
  <si>
    <t>** 1 kuld ikke godkendt</t>
  </si>
  <si>
    <t>Arko vom Kalkberg</t>
  </si>
  <si>
    <t>16905/2004</t>
  </si>
  <si>
    <t>Balu vom Forstweg</t>
  </si>
  <si>
    <t>ZB 03-0390</t>
  </si>
  <si>
    <t>Birko von der Alten Ziegelei</t>
  </si>
  <si>
    <t>ZB 02-0448</t>
  </si>
  <si>
    <t>Boss</t>
  </si>
  <si>
    <t>09353/2002</t>
  </si>
  <si>
    <t>Lyngbylund's Illo</t>
  </si>
  <si>
    <t>13107/2003</t>
  </si>
  <si>
    <t>Amor von Eichenkamp</t>
  </si>
  <si>
    <t>ZB 99-0922</t>
  </si>
  <si>
    <t>Damholt's Buster</t>
  </si>
  <si>
    <t>09132/2001</t>
  </si>
  <si>
    <t xml:space="preserve">King                      </t>
  </si>
  <si>
    <t>hvalpe i alt</t>
  </si>
  <si>
    <t>Parringer i alt</t>
  </si>
  <si>
    <t>Årets registrering i alt</t>
  </si>
  <si>
    <t>Registreringer i alt i 5 år</t>
  </si>
  <si>
    <t xml:space="preserve">Don vom Münsterland </t>
  </si>
  <si>
    <t>ZB 05-0280</t>
  </si>
  <si>
    <t>Dux von Ibbenbüren</t>
  </si>
  <si>
    <t>ZB 03-0842</t>
  </si>
  <si>
    <t>Fredensvej's Balder</t>
  </si>
  <si>
    <t>08952/2003</t>
  </si>
  <si>
    <t>Fredensvej's Cipo</t>
  </si>
  <si>
    <t>11787/2005</t>
  </si>
  <si>
    <t>Ganto</t>
  </si>
  <si>
    <t>11941/2005</t>
  </si>
  <si>
    <t>Harro vom Drebenholt</t>
  </si>
  <si>
    <t>ZB 01-0406</t>
  </si>
  <si>
    <t>Münsterledet's Benja</t>
  </si>
  <si>
    <t>14038/2004</t>
  </si>
  <si>
    <t>Münsterledet's Charli</t>
  </si>
  <si>
    <t>05211/2006</t>
  </si>
  <si>
    <t>Rocco vom Schaumburger Wald</t>
  </si>
  <si>
    <t>ZB 02-0237</t>
  </si>
  <si>
    <t>Ræhrbakken's Balder</t>
  </si>
  <si>
    <t>08129/2003</t>
  </si>
  <si>
    <t>Ræhrbakken's Eran</t>
  </si>
  <si>
    <t>14728/2006</t>
  </si>
  <si>
    <t>Spike</t>
  </si>
  <si>
    <t>09284/2003</t>
  </si>
  <si>
    <t>Uldjydens Bello</t>
  </si>
  <si>
    <t>00532/2002</t>
  </si>
  <si>
    <t>Uglemossen's Mister</t>
  </si>
  <si>
    <t>18392/2005</t>
  </si>
  <si>
    <t>Efektiv population</t>
  </si>
  <si>
    <t>Omregnet til 50</t>
  </si>
  <si>
    <t>Balko vom Eeckbrook</t>
  </si>
  <si>
    <t>ZB 06-0028</t>
  </si>
  <si>
    <t>Chip Eben Ezer</t>
  </si>
  <si>
    <t>ZB 08-A002</t>
  </si>
  <si>
    <t>Ejsbøl's A.Chang</t>
  </si>
  <si>
    <t>09463/2006</t>
  </si>
  <si>
    <t>Elverdams Dux</t>
  </si>
  <si>
    <t>dk12194/2007</t>
  </si>
  <si>
    <t>Fuglevang's Hector</t>
  </si>
  <si>
    <t>dk00523/2007</t>
  </si>
  <si>
    <t>Gråsidingens Molke</t>
  </si>
  <si>
    <t>s66107/2005</t>
  </si>
  <si>
    <t>Isko vom Kiefernwalde</t>
  </si>
  <si>
    <t>ZB 06-0091</t>
  </si>
  <si>
    <t>Looses Kaisan</t>
  </si>
  <si>
    <t>19615/2006</t>
  </si>
  <si>
    <t>04699/2005</t>
  </si>
  <si>
    <t>Rogstaberget's Jackson Browne</t>
  </si>
  <si>
    <t>s27068/2003</t>
  </si>
  <si>
    <t>Ulf von Rehfalkenhorst</t>
  </si>
  <si>
    <t>ZB 02-0160</t>
  </si>
  <si>
    <t>Uldjydens Gismo</t>
  </si>
  <si>
    <t>12948/2005</t>
  </si>
  <si>
    <t>Uldjydens Heino</t>
  </si>
  <si>
    <t>dk05155/2007</t>
  </si>
  <si>
    <t>Atlas</t>
  </si>
  <si>
    <t>12715/2005</t>
  </si>
  <si>
    <t>13415/2003</t>
  </si>
  <si>
    <t>Blix</t>
  </si>
  <si>
    <t>03425/2005</t>
  </si>
  <si>
    <t>Uldjydens Konta</t>
  </si>
  <si>
    <t>13852/2002</t>
  </si>
  <si>
    <t>Sammentalt 5 år</t>
  </si>
  <si>
    <t>Anno vom Heideschloss</t>
  </si>
  <si>
    <t>ZB 03-0456</t>
  </si>
  <si>
    <t xml:space="preserve">Chip </t>
  </si>
  <si>
    <t>dk20105/2007</t>
  </si>
  <si>
    <t>Dük vom Viöler-Land</t>
  </si>
  <si>
    <t>dk03597/2010</t>
  </si>
  <si>
    <t>Gråsidingens Pinus</t>
  </si>
  <si>
    <t>s29797/2007</t>
  </si>
  <si>
    <t>Hedeskov's Cilas</t>
  </si>
  <si>
    <t>09112/2006</t>
  </si>
  <si>
    <t>Iros vom Kievernwalde</t>
  </si>
  <si>
    <t>ZB 06-0092</t>
  </si>
  <si>
    <t>Lucky vom Heeker Eichengrund</t>
  </si>
  <si>
    <t>ZB 07-0207</t>
  </si>
  <si>
    <t>Winter vom Fuchseck</t>
  </si>
  <si>
    <t>ZB 08-0250</t>
  </si>
  <si>
    <t>Zico</t>
  </si>
  <si>
    <t>23301/2004</t>
  </si>
  <si>
    <t>Dustin</t>
  </si>
  <si>
    <t>16716/2002</t>
  </si>
  <si>
    <t>Frodo aus der Wolfskuhle</t>
  </si>
  <si>
    <t>ZB 06-0384</t>
  </si>
  <si>
    <t>(2 fædre i import er identisk med medtagne avlshanner. Derfor 29 og ikke 31)</t>
  </si>
  <si>
    <t>Samlet 5 år</t>
  </si>
  <si>
    <t>Cielpa's Daks</t>
  </si>
  <si>
    <t>12889/2001</t>
  </si>
  <si>
    <t>Dosty</t>
  </si>
  <si>
    <t>05431/2006</t>
  </si>
  <si>
    <t>Horsia's Miki</t>
  </si>
  <si>
    <t>11039/2006</t>
  </si>
  <si>
    <t>Iros vom Kiefernwalde</t>
  </si>
  <si>
    <t>Kalli Vom Forstweg</t>
  </si>
  <si>
    <t>ZB 08-0677</t>
  </si>
  <si>
    <t>Nesko vom Heeker Eichengrund</t>
  </si>
  <si>
    <t>dk04215/2009</t>
  </si>
  <si>
    <t>Uldjyden's Cato</t>
  </si>
  <si>
    <t>dk07224/2008</t>
  </si>
  <si>
    <t>Aslan</t>
  </si>
  <si>
    <t>22267/2006</t>
  </si>
  <si>
    <t>Boomer Vom Dürren Grund</t>
  </si>
  <si>
    <t>ZB 09-0223</t>
  </si>
  <si>
    <t>Fuglevang's Jack</t>
  </si>
  <si>
    <t>dk09707/2009</t>
  </si>
  <si>
    <t>Fuglevang's Jaco</t>
  </si>
  <si>
    <t>dk0+705/2009</t>
  </si>
  <si>
    <t>Gråsidingen's  Xenofon</t>
  </si>
  <si>
    <t>dk096777/2010</t>
  </si>
  <si>
    <t>Høegstoft Dingo</t>
  </si>
  <si>
    <t>dk08901/2009</t>
  </si>
  <si>
    <t>Moritz Vom Kiefernwaqlde</t>
  </si>
  <si>
    <t>ZB 09-0266</t>
  </si>
  <si>
    <t>Vicco Vom Fuchseck</t>
  </si>
  <si>
    <t>ZB 06-0409</t>
  </si>
  <si>
    <t>Brisko Von Der Grossen Breite</t>
  </si>
  <si>
    <t>ZB 09-0684</t>
  </si>
  <si>
    <t>Farum Kegan</t>
  </si>
  <si>
    <t>dk01769/2010</t>
  </si>
  <si>
    <t>Hakkiokankaan Bob</t>
  </si>
  <si>
    <t>dk07658/2010</t>
  </si>
  <si>
    <t>Akko v. Sperlingshof</t>
  </si>
  <si>
    <t>ZB 10-0693</t>
  </si>
  <si>
    <t>dk09705/2009</t>
  </si>
  <si>
    <t>Hedeskov's Guffe</t>
  </si>
  <si>
    <t>DK09329/2009</t>
  </si>
  <si>
    <t>Illebølle's Emil</t>
  </si>
  <si>
    <t>dk16235/2009</t>
  </si>
  <si>
    <t>Pedro Vom Hesseltal</t>
  </si>
  <si>
    <t>ZB 08-0484</t>
  </si>
  <si>
    <t>Præstgårdens B-Approx</t>
  </si>
  <si>
    <t>s28459/2008</t>
  </si>
  <si>
    <t>dk06374/2011</t>
  </si>
  <si>
    <t>Thyboens Patrik</t>
  </si>
  <si>
    <t>dk07582/2001</t>
  </si>
  <si>
    <t>Aldo Vom Sperlinghof</t>
  </si>
  <si>
    <t>dk09341/2011</t>
  </si>
  <si>
    <t>Damholt's Hugo</t>
  </si>
  <si>
    <t>08819/2002</t>
  </si>
  <si>
    <t>Løvmosen's Hector</t>
  </si>
  <si>
    <t>dk06728/2011</t>
  </si>
  <si>
    <t>Anton vom Woltruper Dorf</t>
  </si>
  <si>
    <t>KLMZB 12-0164</t>
  </si>
  <si>
    <t>Blanko Vom Eulenstein</t>
  </si>
  <si>
    <t>ZB 06-0678</t>
  </si>
  <si>
    <t>Isko von Brockhauser Esch</t>
  </si>
  <si>
    <t>ZB 09-0664</t>
  </si>
  <si>
    <t>Larcchan vom Forstweg</t>
  </si>
  <si>
    <t>ZB 09-0051</t>
  </si>
  <si>
    <t>Uldjydens Pedro</t>
  </si>
  <si>
    <t>dk15349/2011</t>
  </si>
  <si>
    <t>Acko</t>
  </si>
  <si>
    <t>dk05850/2009</t>
  </si>
  <si>
    <t>Horsia's Odin</t>
  </si>
  <si>
    <t>dk07683/2009</t>
  </si>
  <si>
    <t>Høegstoft Cato</t>
  </si>
  <si>
    <t>dk05495/2008</t>
  </si>
  <si>
    <t>Løvmosen's Dexter</t>
  </si>
  <si>
    <t>dk15556/2012</t>
  </si>
  <si>
    <t>Vesthimmerland's Duffy</t>
  </si>
  <si>
    <t>dk11717/2012</t>
  </si>
  <si>
    <t>Vesthimmerland's Odin</t>
  </si>
  <si>
    <t>dk06265/2008</t>
  </si>
  <si>
    <t>Bernie</t>
  </si>
  <si>
    <t>Dk10528/2011</t>
  </si>
  <si>
    <t>Isac</t>
  </si>
  <si>
    <t>Dk08154/2010</t>
  </si>
  <si>
    <t>Jomondo</t>
  </si>
  <si>
    <t>Dk11329/2012</t>
  </si>
  <si>
    <t>Karlo vom Grenswall</t>
  </si>
  <si>
    <t>ZB 10-0660</t>
  </si>
  <si>
    <t xml:space="preserve">Kendo V.D.Wolfstange </t>
  </si>
  <si>
    <t>ZB13-0205</t>
  </si>
  <si>
    <t>Marco von der Günz</t>
  </si>
  <si>
    <t>Dk03955/2012</t>
  </si>
  <si>
    <t>Munsterkull.Riddar Kato</t>
  </si>
  <si>
    <t>Se20657/2011</t>
  </si>
  <si>
    <t>Quero von Hubertus</t>
  </si>
  <si>
    <t>s28459/2009</t>
  </si>
  <si>
    <t>Quorum's Grip</t>
  </si>
  <si>
    <t>s28459/2010</t>
  </si>
  <si>
    <t>Hopkirk's Balleg. Trold</t>
  </si>
  <si>
    <t>I alt ej godkendte</t>
  </si>
  <si>
    <t>Total parr. 5År</t>
  </si>
  <si>
    <t>Hvalpe 5år</t>
  </si>
  <si>
    <t xml:space="preserve">Caesar Aus Der Wolfkammer </t>
  </si>
  <si>
    <t>KLMZB 07-0694</t>
  </si>
  <si>
    <t>Cosmo</t>
  </si>
  <si>
    <t>Dk01693/2013</t>
  </si>
  <si>
    <t>Dix von der Leezener Au</t>
  </si>
  <si>
    <t>KLMZB 12-0204</t>
  </si>
  <si>
    <t>Fuglevang's Oscar</t>
  </si>
  <si>
    <t>Dk08857/2012</t>
  </si>
  <si>
    <t>Karlo Vom Grenswall</t>
  </si>
  <si>
    <t>Løvmosen's Birko</t>
  </si>
  <si>
    <t>Dk17694/2013</t>
  </si>
  <si>
    <t>Pixer Jixer v.d.Chesannehof</t>
  </si>
  <si>
    <t>NHSB2897146</t>
  </si>
  <si>
    <t>Pluto</t>
  </si>
  <si>
    <t>Dk17587/2014</t>
  </si>
  <si>
    <t>S45586/2007</t>
  </si>
  <si>
    <t>Tasso vom Schaumburger Wald</t>
  </si>
  <si>
    <t>KLMZB 07-0482</t>
  </si>
  <si>
    <t>Spærret DKK</t>
  </si>
  <si>
    <t>Uldjydens Oko</t>
  </si>
  <si>
    <t>Dk14941/2011</t>
  </si>
  <si>
    <t>Uri vom Kiefernwalde</t>
  </si>
  <si>
    <t>Dk10389/2014</t>
  </si>
  <si>
    <t>Vito</t>
  </si>
  <si>
    <t>Dk18331/2013</t>
  </si>
  <si>
    <t>Arie</t>
  </si>
  <si>
    <t>Dk06344/2011</t>
  </si>
  <si>
    <t>Bjerge Å's Ouzo</t>
  </si>
  <si>
    <t>04214/2003</t>
  </si>
  <si>
    <t>Bonjami's Hector</t>
  </si>
  <si>
    <t>Dk15217/2010</t>
  </si>
  <si>
    <t>Hulbæk Arko</t>
  </si>
  <si>
    <t>22097/2004</t>
  </si>
  <si>
    <t>Dinus</t>
  </si>
  <si>
    <t>Dk15369/2013</t>
  </si>
  <si>
    <t>Fuglevang's Q-Charlie</t>
  </si>
  <si>
    <t>Dk05724/2014</t>
  </si>
  <si>
    <t>Lokkeberget's Igor</t>
  </si>
  <si>
    <t>N08910/08</t>
  </si>
  <si>
    <t>Walko vom Forstweg</t>
  </si>
  <si>
    <t>KLMZB 15-0361</t>
  </si>
  <si>
    <t>.</t>
  </si>
  <si>
    <t>Zandor Vom Pannrack</t>
  </si>
  <si>
    <t>Dk16202/2016</t>
  </si>
  <si>
    <t>Basil</t>
  </si>
  <si>
    <t>Dk09405/2015</t>
  </si>
  <si>
    <t>Fuglevang's Ricki</t>
  </si>
  <si>
    <t>Dk09140/2015</t>
  </si>
  <si>
    <t>Fuglevang's Rocky</t>
  </si>
  <si>
    <t>Dk09138/2015</t>
  </si>
  <si>
    <t>Hedeskov's Jarko</t>
  </si>
  <si>
    <t>Dk04780/2013</t>
  </si>
  <si>
    <t>Spærret</t>
  </si>
  <si>
    <t>Thyboens Felix</t>
  </si>
  <si>
    <t>Dk15342/2015</t>
  </si>
  <si>
    <t xml:space="preserve">Spærret </t>
  </si>
  <si>
    <t>Åløkkens Mielo</t>
  </si>
  <si>
    <t>Dk03657/2014</t>
  </si>
  <si>
    <t>Chico</t>
  </si>
  <si>
    <t>Dk02719/2013</t>
  </si>
  <si>
    <t>Tello</t>
  </si>
  <si>
    <t>Dk01237/2010</t>
  </si>
  <si>
    <t>Anton von Westfalen</t>
  </si>
  <si>
    <t>ZB 15-1016</t>
  </si>
  <si>
    <t>Artos von Westfalen</t>
  </si>
  <si>
    <t>ZB 15-1013</t>
  </si>
  <si>
    <t>Caspar v.d.Riehenwiesen</t>
  </si>
  <si>
    <t>ZB 14-0437</t>
  </si>
  <si>
    <t>Caos</t>
  </si>
  <si>
    <t>Dk15890/2016</t>
  </si>
  <si>
    <t>Django</t>
  </si>
  <si>
    <t>Dk08139/2014</t>
  </si>
  <si>
    <t>Elverdams Igor</t>
  </si>
  <si>
    <t>Dk07636/2016</t>
  </si>
  <si>
    <t>Gismo</t>
  </si>
  <si>
    <t>Dk08983/2014</t>
  </si>
  <si>
    <t>Gråsidingens Hop</t>
  </si>
  <si>
    <t>SE21387/2015</t>
  </si>
  <si>
    <t>Herrskapets Prinz</t>
  </si>
  <si>
    <t>ZB 17-A002</t>
  </si>
  <si>
    <t>Luffe</t>
  </si>
  <si>
    <t>Dk15858/2015</t>
  </si>
  <si>
    <t>Løvmosens Marco</t>
  </si>
  <si>
    <t>Dk05998/2012</t>
  </si>
  <si>
    <t>Skrämmens C-Casso</t>
  </si>
  <si>
    <t>SE18458/2015</t>
  </si>
  <si>
    <t>Thyboens Bull</t>
  </si>
  <si>
    <t>Dk14807/2017</t>
  </si>
  <si>
    <t>Aiko</t>
  </si>
  <si>
    <t>Dk08895/2012</t>
  </si>
  <si>
    <t>Amir</t>
  </si>
  <si>
    <t>Dk05867/2013</t>
  </si>
  <si>
    <t>Aslak</t>
  </si>
  <si>
    <t>Dk10640/2014</t>
  </si>
  <si>
    <t>Bison</t>
  </si>
  <si>
    <t>Dk17646/2016</t>
  </si>
  <si>
    <t>Caspar A.D.Riehenwiesen</t>
  </si>
  <si>
    <t>Fyrkildes Buster</t>
  </si>
  <si>
    <t>Dk10487/2017</t>
  </si>
  <si>
    <t>Se21387/2015</t>
  </si>
  <si>
    <t>Gråsidingen's  Ingram</t>
  </si>
  <si>
    <t>Se38887/2015</t>
  </si>
  <si>
    <t>Heikki</t>
  </si>
  <si>
    <t>Dk17644/2016</t>
  </si>
  <si>
    <t>Hulbæk Jes</t>
  </si>
  <si>
    <t>Dk04815/2011</t>
  </si>
  <si>
    <t>Rap</t>
  </si>
  <si>
    <t>Dk11656/2017</t>
  </si>
  <si>
    <t>Rufus</t>
  </si>
  <si>
    <t>Dk11653/2017</t>
  </si>
  <si>
    <t>Simba</t>
  </si>
  <si>
    <t>Dk12510/2015</t>
  </si>
  <si>
    <t>Se18458/2015</t>
  </si>
  <si>
    <t>Sneppegården D'Cognac</t>
  </si>
  <si>
    <t>Dk17986/2016</t>
  </si>
  <si>
    <t>Snöyran's Michelangelo</t>
  </si>
  <si>
    <t>SE57544/2015</t>
  </si>
  <si>
    <t>Dk09644/2007</t>
  </si>
  <si>
    <t>Uldjydens Pax</t>
  </si>
  <si>
    <t>Dk03135/2015</t>
  </si>
  <si>
    <t>Xito Vom Eulenfelsen</t>
  </si>
  <si>
    <t>KLMZB 11-0628</t>
  </si>
  <si>
    <t xml:space="preserve">Zappes V.Schaumb. Wald </t>
  </si>
  <si>
    <t>KLMZB15-0984</t>
  </si>
  <si>
    <t>Dk07295/2018</t>
  </si>
  <si>
    <t>Storm</t>
  </si>
  <si>
    <t>Dk11522/2015</t>
  </si>
  <si>
    <t xml:space="preserve">  </t>
  </si>
  <si>
    <t>Dk03525/2015</t>
  </si>
  <si>
    <t>Caspar A.D.Riehenweisen</t>
  </si>
  <si>
    <t>Diesel</t>
  </si>
  <si>
    <t>Dk07187/2017</t>
  </si>
  <si>
    <t>se21387/2015</t>
  </si>
  <si>
    <t>Gråsidingens Ingram</t>
  </si>
  <si>
    <t>SE38887/2015</t>
  </si>
  <si>
    <t>Igor M. Chesannehof</t>
  </si>
  <si>
    <t>Dk10980/2019</t>
  </si>
  <si>
    <t>NO08910/08</t>
  </si>
  <si>
    <t>Se57544/2015</t>
  </si>
  <si>
    <t>Tjæreborgegnens A.Tjalfe</t>
  </si>
  <si>
    <t>Dk02179/2019</t>
  </si>
  <si>
    <t>Zappes V. Schaumburger Wald</t>
  </si>
  <si>
    <t>ZB 15-0984</t>
  </si>
  <si>
    <t>Figaro</t>
  </si>
  <si>
    <t>Dk10236/2017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</si>
</sst>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_(* #,##0.00_);_(* \(#,##0.00\);_(* \-??_);_(@_)"/>
    <numFmt numFmtId="166" formatCode="_(* #,##0.0_);_(* \(#,##0.0\);_(* \-??_);_(@_)"/>
    <numFmt numFmtId="167" formatCode="0.000"/>
    <numFmt numFmtId="168" formatCode="0.0"/>
    <numFmt numFmtId="169" formatCode="0.00;[Red]0.00"/>
    <numFmt numFmtId="170" formatCode="dd/mm/yy"/>
  </numFmts>
  <fonts count="51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14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43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horizontal="left" wrapText="1"/>
    </xf>
    <xf numFmtId="0" fontId="0" fillId="0" borderId="0" xfId="0" applyFill="1" applyAlignment="1">
      <alignment/>
    </xf>
    <xf numFmtId="2" fontId="0" fillId="35" borderId="0" xfId="0" applyNumberFormat="1" applyFill="1" applyAlignment="1">
      <alignment/>
    </xf>
    <xf numFmtId="0" fontId="0" fillId="0" borderId="0" xfId="0" applyFont="1" applyAlignment="1" applyProtection="1">
      <alignment/>
      <protection locked="0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34" borderId="0" xfId="0" applyFont="1" applyFill="1" applyAlignment="1" applyProtection="1">
      <alignment/>
      <protection locked="0"/>
    </xf>
    <xf numFmtId="10" fontId="0" fillId="34" borderId="0" xfId="0" applyNumberFormat="1" applyFill="1" applyAlignment="1">
      <alignment/>
    </xf>
    <xf numFmtId="0" fontId="0" fillId="36" borderId="0" xfId="0" applyFont="1" applyFill="1" applyAlignment="1" applyProtection="1">
      <alignment/>
      <protection locked="0"/>
    </xf>
    <xf numFmtId="10" fontId="0" fillId="36" borderId="0" xfId="0" applyNumberFormat="1" applyFill="1" applyAlignment="1">
      <alignment/>
    </xf>
    <xf numFmtId="0" fontId="0" fillId="37" borderId="0" xfId="0" applyFon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7" borderId="0" xfId="0" applyFill="1" applyAlignment="1">
      <alignment/>
    </xf>
    <xf numFmtId="0" fontId="0" fillId="37" borderId="0" xfId="0" applyNumberFormat="1" applyFont="1" applyFill="1" applyAlignment="1">
      <alignment/>
    </xf>
    <xf numFmtId="10" fontId="0" fillId="37" borderId="0" xfId="0" applyNumberFormat="1" applyFill="1" applyAlignment="1">
      <alignment/>
    </xf>
    <xf numFmtId="0" fontId="0" fillId="37" borderId="0" xfId="0" applyFont="1" applyFill="1" applyAlignment="1">
      <alignment/>
    </xf>
    <xf numFmtId="170" fontId="0" fillId="0" borderId="0" xfId="0" applyNumberFormat="1" applyAlignment="1">
      <alignment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2" fontId="16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søgt Hyperli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10" width="7.42187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2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13</v>
      </c>
    </row>
    <row r="3" spans="1:11" ht="12.75">
      <c r="A3" s="6" t="s">
        <v>14</v>
      </c>
      <c r="B3" s="6" t="s">
        <v>15</v>
      </c>
      <c r="C3" s="6">
        <v>6</v>
      </c>
      <c r="D3" s="6"/>
      <c r="E3" s="6">
        <v>19</v>
      </c>
      <c r="F3" s="6">
        <v>27</v>
      </c>
      <c r="G3" s="6">
        <v>46</v>
      </c>
      <c r="H3" s="6">
        <v>22.33</v>
      </c>
      <c r="I3" s="6">
        <v>6</v>
      </c>
      <c r="J3" s="6">
        <v>46</v>
      </c>
      <c r="K3" s="6">
        <v>4.07</v>
      </c>
    </row>
    <row r="4" spans="1:11" ht="12.75">
      <c r="A4" t="s">
        <v>16</v>
      </c>
      <c r="B4" t="s">
        <v>17</v>
      </c>
      <c r="C4">
        <v>3</v>
      </c>
      <c r="E4">
        <v>14</v>
      </c>
      <c r="F4">
        <v>8</v>
      </c>
      <c r="G4">
        <v>22</v>
      </c>
      <c r="H4">
        <v>10.67</v>
      </c>
      <c r="I4">
        <v>3</v>
      </c>
      <c r="J4">
        <v>22</v>
      </c>
      <c r="K4">
        <v>1.94</v>
      </c>
    </row>
    <row r="5" spans="1:11" ht="12.75">
      <c r="A5" t="s">
        <v>18</v>
      </c>
      <c r="B5" t="s">
        <v>19</v>
      </c>
      <c r="C5">
        <v>3</v>
      </c>
      <c r="E5">
        <v>12</v>
      </c>
      <c r="F5">
        <v>8</v>
      </c>
      <c r="G5">
        <v>20</v>
      </c>
      <c r="H5">
        <v>9.7</v>
      </c>
      <c r="I5">
        <v>9</v>
      </c>
      <c r="J5">
        <v>52</v>
      </c>
      <c r="K5">
        <v>4.6</v>
      </c>
    </row>
    <row r="6" spans="1:11" ht="12.75">
      <c r="A6" t="s">
        <v>20</v>
      </c>
      <c r="B6" t="s">
        <v>21</v>
      </c>
      <c r="C6">
        <v>3</v>
      </c>
      <c r="E6">
        <v>9</v>
      </c>
      <c r="F6">
        <v>5</v>
      </c>
      <c r="G6">
        <v>14</v>
      </c>
      <c r="H6">
        <v>6.79</v>
      </c>
      <c r="I6">
        <v>6</v>
      </c>
      <c r="J6">
        <v>34</v>
      </c>
      <c r="K6">
        <v>3.01</v>
      </c>
    </row>
    <row r="7" spans="1:11" ht="12.75">
      <c r="A7" t="s">
        <v>22</v>
      </c>
      <c r="B7" t="s">
        <v>23</v>
      </c>
      <c r="C7">
        <v>2</v>
      </c>
      <c r="E7">
        <v>10</v>
      </c>
      <c r="F7">
        <v>8</v>
      </c>
      <c r="G7">
        <v>18</v>
      </c>
      <c r="H7">
        <v>8.73</v>
      </c>
      <c r="I7">
        <v>10</v>
      </c>
      <c r="J7">
        <v>79</v>
      </c>
      <c r="K7" s="7">
        <v>6.99</v>
      </c>
    </row>
    <row r="8" spans="1:11" ht="12.75">
      <c r="A8" t="s">
        <v>24</v>
      </c>
      <c r="B8" t="s">
        <v>25</v>
      </c>
      <c r="C8">
        <v>2</v>
      </c>
      <c r="E8">
        <v>12</v>
      </c>
      <c r="F8">
        <v>3</v>
      </c>
      <c r="G8">
        <v>15</v>
      </c>
      <c r="H8">
        <v>7.28</v>
      </c>
      <c r="I8">
        <v>16</v>
      </c>
      <c r="J8">
        <v>113</v>
      </c>
      <c r="K8">
        <v>4.78</v>
      </c>
    </row>
    <row r="9" spans="1:11" ht="12.75">
      <c r="A9" t="s">
        <v>26</v>
      </c>
      <c r="B9" t="s">
        <v>27</v>
      </c>
      <c r="C9">
        <v>1</v>
      </c>
      <c r="E9">
        <v>3</v>
      </c>
      <c r="F9">
        <v>9</v>
      </c>
      <c r="G9">
        <v>12</v>
      </c>
      <c r="H9">
        <v>5.82</v>
      </c>
      <c r="I9">
        <v>3</v>
      </c>
      <c r="J9">
        <v>24</v>
      </c>
      <c r="K9">
        <v>2.12</v>
      </c>
    </row>
    <row r="10" spans="1:11" ht="12.75">
      <c r="A10" t="s">
        <v>26</v>
      </c>
      <c r="B10" t="s">
        <v>28</v>
      </c>
      <c r="C10">
        <v>1</v>
      </c>
      <c r="E10">
        <v>4</v>
      </c>
      <c r="F10">
        <v>4</v>
      </c>
      <c r="G10">
        <v>8</v>
      </c>
      <c r="H10">
        <v>3.88</v>
      </c>
      <c r="I10">
        <v>3</v>
      </c>
      <c r="J10">
        <v>21</v>
      </c>
      <c r="K10">
        <v>1.86</v>
      </c>
    </row>
    <row r="11" spans="1:11" ht="12.75">
      <c r="A11" t="s">
        <v>29</v>
      </c>
      <c r="B11" t="s">
        <v>30</v>
      </c>
      <c r="C11">
        <v>1</v>
      </c>
      <c r="E11">
        <v>2</v>
      </c>
      <c r="F11">
        <v>4</v>
      </c>
      <c r="G11">
        <v>6</v>
      </c>
      <c r="H11">
        <v>2.91</v>
      </c>
      <c r="I11">
        <v>10</v>
      </c>
      <c r="J11">
        <v>68</v>
      </c>
      <c r="K11" s="7">
        <v>6.02</v>
      </c>
    </row>
    <row r="12" spans="1:11" ht="12.75">
      <c r="A12" t="s">
        <v>31</v>
      </c>
      <c r="B12" t="s">
        <v>32</v>
      </c>
      <c r="C12">
        <v>1</v>
      </c>
      <c r="E12">
        <v>2</v>
      </c>
      <c r="F12">
        <v>4</v>
      </c>
      <c r="G12">
        <v>6</v>
      </c>
      <c r="H12">
        <v>2.91</v>
      </c>
      <c r="I12">
        <v>1</v>
      </c>
      <c r="J12">
        <v>6</v>
      </c>
      <c r="K12">
        <v>0.53</v>
      </c>
    </row>
    <row r="13" spans="1:11" ht="12.75">
      <c r="A13" t="s">
        <v>33</v>
      </c>
      <c r="B13" t="s">
        <v>34</v>
      </c>
      <c r="C13">
        <v>1</v>
      </c>
      <c r="E13">
        <v>4</v>
      </c>
      <c r="F13">
        <v>3</v>
      </c>
      <c r="G13">
        <v>7</v>
      </c>
      <c r="H13">
        <v>3.38</v>
      </c>
      <c r="I13">
        <v>1</v>
      </c>
      <c r="J13">
        <v>7</v>
      </c>
      <c r="K13">
        <v>0.62</v>
      </c>
    </row>
    <row r="14" spans="1:11" ht="12.75">
      <c r="A14" t="s">
        <v>35</v>
      </c>
      <c r="B14" t="s">
        <v>36</v>
      </c>
      <c r="C14">
        <v>1</v>
      </c>
      <c r="E14">
        <v>4</v>
      </c>
      <c r="F14">
        <v>2</v>
      </c>
      <c r="G14">
        <v>6</v>
      </c>
      <c r="H14">
        <v>2.91</v>
      </c>
      <c r="I14">
        <v>3</v>
      </c>
      <c r="J14">
        <v>17</v>
      </c>
      <c r="K14">
        <v>1.5</v>
      </c>
    </row>
    <row r="15" spans="1:11" ht="12.75">
      <c r="A15" t="s">
        <v>37</v>
      </c>
      <c r="B15" t="s">
        <v>38</v>
      </c>
      <c r="C15">
        <v>1</v>
      </c>
      <c r="E15">
        <v>3</v>
      </c>
      <c r="F15">
        <v>2</v>
      </c>
      <c r="G15">
        <v>5</v>
      </c>
      <c r="H15">
        <v>2.42</v>
      </c>
      <c r="I15">
        <v>3</v>
      </c>
      <c r="J15">
        <v>21</v>
      </c>
      <c r="K15">
        <v>1.86</v>
      </c>
    </row>
    <row r="16" spans="1:11" ht="12.75">
      <c r="A16" t="s">
        <v>39</v>
      </c>
      <c r="B16" t="s">
        <v>40</v>
      </c>
      <c r="C16">
        <v>1</v>
      </c>
      <c r="E16">
        <v>1</v>
      </c>
      <c r="F16">
        <v>3</v>
      </c>
      <c r="G16">
        <v>4</v>
      </c>
      <c r="H16">
        <v>1.94</v>
      </c>
      <c r="I16">
        <v>2</v>
      </c>
      <c r="J16">
        <v>15</v>
      </c>
      <c r="K16">
        <v>1.32</v>
      </c>
    </row>
    <row r="17" spans="1:11" ht="12.75">
      <c r="A17" t="s">
        <v>41</v>
      </c>
      <c r="B17" t="s">
        <v>42</v>
      </c>
      <c r="C17">
        <v>1</v>
      </c>
      <c r="E17">
        <v>1</v>
      </c>
      <c r="F17">
        <v>2</v>
      </c>
      <c r="G17">
        <v>3</v>
      </c>
      <c r="H17">
        <v>1.45</v>
      </c>
      <c r="I17">
        <v>15</v>
      </c>
      <c r="J17">
        <v>93</v>
      </c>
      <c r="K17" s="7">
        <v>7.44</v>
      </c>
    </row>
    <row r="18" spans="1:11" ht="12.75">
      <c r="A18" t="s">
        <v>43</v>
      </c>
      <c r="B18" t="s">
        <v>44</v>
      </c>
      <c r="C18">
        <v>1</v>
      </c>
      <c r="E18">
        <v>0</v>
      </c>
      <c r="F18">
        <v>1</v>
      </c>
      <c r="G18">
        <v>1</v>
      </c>
      <c r="H18">
        <v>0.48</v>
      </c>
      <c r="I18">
        <v>12</v>
      </c>
      <c r="J18">
        <v>85</v>
      </c>
      <c r="K18" s="7">
        <v>5.93</v>
      </c>
    </row>
    <row r="19" spans="1:11" ht="12.75">
      <c r="A19" t="s">
        <v>45</v>
      </c>
      <c r="B19" t="s">
        <v>46</v>
      </c>
      <c r="C19">
        <v>1</v>
      </c>
      <c r="E19">
        <v>3</v>
      </c>
      <c r="F19">
        <v>6</v>
      </c>
      <c r="G19">
        <v>9</v>
      </c>
      <c r="H19">
        <v>4.36</v>
      </c>
      <c r="I19">
        <v>1</v>
      </c>
      <c r="J19">
        <v>9</v>
      </c>
      <c r="K19">
        <v>0.79</v>
      </c>
    </row>
    <row r="20" spans="1:11" ht="12.75">
      <c r="A20" t="s">
        <v>47</v>
      </c>
      <c r="B20" t="s">
        <v>48</v>
      </c>
      <c r="C20">
        <v>1</v>
      </c>
      <c r="E20">
        <v>1</v>
      </c>
      <c r="F20">
        <v>2</v>
      </c>
      <c r="G20">
        <v>3</v>
      </c>
      <c r="H20">
        <v>1.45</v>
      </c>
      <c r="I20">
        <v>1</v>
      </c>
      <c r="J20">
        <v>3</v>
      </c>
      <c r="K20">
        <v>0.26</v>
      </c>
    </row>
    <row r="21" spans="1:11" ht="12.75">
      <c r="A21" t="s">
        <v>49</v>
      </c>
      <c r="B21" t="s">
        <v>50</v>
      </c>
      <c r="C21">
        <v>1</v>
      </c>
      <c r="E21">
        <v>1</v>
      </c>
      <c r="F21">
        <v>0</v>
      </c>
      <c r="G21">
        <v>1</v>
      </c>
      <c r="H21">
        <v>0.48</v>
      </c>
      <c r="I21">
        <v>6</v>
      </c>
      <c r="J21">
        <v>33</v>
      </c>
      <c r="K21">
        <v>2.92</v>
      </c>
    </row>
    <row r="22" spans="1:7" ht="12.75">
      <c r="A22" s="2" t="s">
        <v>8</v>
      </c>
      <c r="C22" s="2">
        <v>32</v>
      </c>
      <c r="E22" s="2">
        <v>105</v>
      </c>
      <c r="F22" s="2">
        <v>101</v>
      </c>
      <c r="G22" s="2">
        <v>206</v>
      </c>
    </row>
    <row r="23" spans="1:2" ht="12.75">
      <c r="A23" s="2" t="s">
        <v>51</v>
      </c>
      <c r="B23" s="8">
        <v>47.68</v>
      </c>
    </row>
    <row r="25" ht="12.75">
      <c r="A25" s="2"/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22">
      <selection activeCell="L48" sqref="L48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8.28125" style="0" customWidth="1"/>
    <col min="11" max="11" width="12.003906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201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202</v>
      </c>
    </row>
    <row r="3" spans="1:13" ht="12.75">
      <c r="A3" s="6" t="s">
        <v>203</v>
      </c>
      <c r="B3" s="6" t="s">
        <v>204</v>
      </c>
      <c r="C3" s="6">
        <v>5</v>
      </c>
      <c r="D3" s="6"/>
      <c r="E3" s="6">
        <v>19</v>
      </c>
      <c r="F3" s="6">
        <v>24</v>
      </c>
      <c r="G3" s="6">
        <v>43</v>
      </c>
      <c r="H3" s="6">
        <v>9.45</v>
      </c>
      <c r="I3" s="6">
        <v>5</v>
      </c>
      <c r="J3" s="10">
        <v>43</v>
      </c>
      <c r="K3" s="6">
        <v>2.39</v>
      </c>
      <c r="M3" s="11"/>
    </row>
    <row r="4" spans="1:13" ht="12.75">
      <c r="A4" t="s">
        <v>176</v>
      </c>
      <c r="B4" t="s">
        <v>177</v>
      </c>
      <c r="C4">
        <v>7</v>
      </c>
      <c r="D4">
        <v>2</v>
      </c>
      <c r="E4">
        <v>23</v>
      </c>
      <c r="F4">
        <v>16</v>
      </c>
      <c r="G4">
        <v>39</v>
      </c>
      <c r="H4">
        <v>8.57</v>
      </c>
      <c r="I4">
        <v>10</v>
      </c>
      <c r="J4" s="10">
        <v>69</v>
      </c>
      <c r="K4">
        <v>3.84</v>
      </c>
      <c r="M4" s="12"/>
    </row>
    <row r="5" spans="1:11" ht="12.75">
      <c r="A5" t="s">
        <v>178</v>
      </c>
      <c r="B5" t="s">
        <v>179</v>
      </c>
      <c r="C5">
        <v>5</v>
      </c>
      <c r="D5">
        <v>1</v>
      </c>
      <c r="E5">
        <v>16</v>
      </c>
      <c r="F5">
        <v>6</v>
      </c>
      <c r="G5">
        <v>22</v>
      </c>
      <c r="H5">
        <v>4.83</v>
      </c>
      <c r="I5">
        <v>7</v>
      </c>
      <c r="J5" s="10">
        <v>28</v>
      </c>
      <c r="K5">
        <v>1.56</v>
      </c>
    </row>
    <row r="6" spans="1:13" ht="12.75">
      <c r="A6" t="s">
        <v>150</v>
      </c>
      <c r="B6" t="s">
        <v>151</v>
      </c>
      <c r="C6">
        <v>4</v>
      </c>
      <c r="E6">
        <v>8</v>
      </c>
      <c r="F6">
        <v>9</v>
      </c>
      <c r="G6">
        <v>17</v>
      </c>
      <c r="H6">
        <v>3.73</v>
      </c>
      <c r="I6">
        <v>8</v>
      </c>
      <c r="J6" s="10">
        <v>39</v>
      </c>
      <c r="K6">
        <v>2.17</v>
      </c>
      <c r="M6" s="12"/>
    </row>
    <row r="7" spans="1:11" ht="12.75">
      <c r="A7" t="s">
        <v>82</v>
      </c>
      <c r="B7" t="s">
        <v>54</v>
      </c>
      <c r="C7">
        <v>3</v>
      </c>
      <c r="E7">
        <v>16</v>
      </c>
      <c r="F7">
        <v>13</v>
      </c>
      <c r="G7">
        <v>29</v>
      </c>
      <c r="H7">
        <v>6.37</v>
      </c>
      <c r="I7">
        <v>35</v>
      </c>
      <c r="J7" s="10">
        <v>284</v>
      </c>
      <c r="K7" s="7">
        <v>11.43</v>
      </c>
    </row>
    <row r="8" spans="1:11" ht="12.75">
      <c r="A8" t="s">
        <v>205</v>
      </c>
      <c r="B8" t="s">
        <v>206</v>
      </c>
      <c r="C8">
        <v>3</v>
      </c>
      <c r="E8">
        <v>12</v>
      </c>
      <c r="F8">
        <v>15</v>
      </c>
      <c r="G8">
        <v>27</v>
      </c>
      <c r="H8">
        <v>5.93</v>
      </c>
      <c r="I8">
        <v>3</v>
      </c>
      <c r="J8" s="10">
        <v>27</v>
      </c>
      <c r="K8">
        <v>1.5</v>
      </c>
    </row>
    <row r="9" spans="1:11" ht="12.75">
      <c r="A9" t="s">
        <v>103</v>
      </c>
      <c r="B9" t="s">
        <v>96</v>
      </c>
      <c r="C9">
        <v>3</v>
      </c>
      <c r="E9">
        <v>12</v>
      </c>
      <c r="F9">
        <v>13</v>
      </c>
      <c r="G9">
        <v>25</v>
      </c>
      <c r="H9">
        <v>5.49</v>
      </c>
      <c r="I9">
        <v>20</v>
      </c>
      <c r="J9" s="10">
        <v>124</v>
      </c>
      <c r="K9">
        <v>6.41</v>
      </c>
    </row>
    <row r="10" spans="1:11" ht="12.75">
      <c r="A10" t="s">
        <v>158</v>
      </c>
      <c r="B10" t="s">
        <v>159</v>
      </c>
      <c r="C10">
        <v>3</v>
      </c>
      <c r="E10">
        <v>10</v>
      </c>
      <c r="F10">
        <v>12</v>
      </c>
      <c r="G10">
        <v>22</v>
      </c>
      <c r="H10">
        <v>4.83</v>
      </c>
      <c r="I10">
        <v>5</v>
      </c>
      <c r="J10" s="10">
        <v>35</v>
      </c>
      <c r="K10">
        <v>1.95</v>
      </c>
    </row>
    <row r="11" spans="1:11" ht="12.75">
      <c r="A11" t="s">
        <v>160</v>
      </c>
      <c r="B11" t="s">
        <v>161</v>
      </c>
      <c r="C11">
        <v>3</v>
      </c>
      <c r="E11">
        <v>8</v>
      </c>
      <c r="F11">
        <v>13</v>
      </c>
      <c r="G11">
        <v>21</v>
      </c>
      <c r="H11">
        <v>4.61</v>
      </c>
      <c r="I11">
        <v>5</v>
      </c>
      <c r="J11" s="10">
        <v>30</v>
      </c>
      <c r="K11">
        <v>1.67</v>
      </c>
    </row>
    <row r="12" spans="1:11" ht="12.75">
      <c r="A12" t="s">
        <v>123</v>
      </c>
      <c r="B12" t="s">
        <v>124</v>
      </c>
      <c r="C12">
        <v>3</v>
      </c>
      <c r="E12">
        <v>5</v>
      </c>
      <c r="F12">
        <v>13</v>
      </c>
      <c r="G12">
        <v>18</v>
      </c>
      <c r="H12">
        <v>3.95</v>
      </c>
      <c r="I12">
        <v>12</v>
      </c>
      <c r="J12" s="10">
        <v>91</v>
      </c>
      <c r="K12">
        <v>5.07</v>
      </c>
    </row>
    <row r="13" spans="1:11" ht="12.75">
      <c r="A13" t="s">
        <v>93</v>
      </c>
      <c r="B13" t="s">
        <v>94</v>
      </c>
      <c r="C13">
        <v>2</v>
      </c>
      <c r="E13">
        <v>11</v>
      </c>
      <c r="F13">
        <v>7</v>
      </c>
      <c r="G13">
        <v>18</v>
      </c>
      <c r="H13">
        <v>3.95</v>
      </c>
      <c r="I13">
        <v>13</v>
      </c>
      <c r="J13" s="10">
        <v>101</v>
      </c>
      <c r="K13">
        <v>5.07</v>
      </c>
    </row>
    <row r="14" spans="1:11" ht="12.75">
      <c r="A14" t="s">
        <v>193</v>
      </c>
      <c r="B14" t="s">
        <v>194</v>
      </c>
      <c r="C14">
        <v>2</v>
      </c>
      <c r="E14">
        <v>9</v>
      </c>
      <c r="F14">
        <v>7</v>
      </c>
      <c r="G14">
        <v>16</v>
      </c>
      <c r="H14">
        <v>3.51</v>
      </c>
      <c r="I14">
        <v>3</v>
      </c>
      <c r="J14" s="10">
        <v>24</v>
      </c>
      <c r="K14">
        <v>1.33</v>
      </c>
    </row>
    <row r="15" spans="1:11" ht="12.75">
      <c r="A15" t="s">
        <v>187</v>
      </c>
      <c r="B15" t="s">
        <v>188</v>
      </c>
      <c r="C15">
        <v>2</v>
      </c>
      <c r="E15">
        <v>4</v>
      </c>
      <c r="F15">
        <v>11</v>
      </c>
      <c r="G15">
        <v>15</v>
      </c>
      <c r="H15">
        <v>3.29</v>
      </c>
      <c r="I15">
        <v>3</v>
      </c>
      <c r="J15" s="10">
        <v>23</v>
      </c>
      <c r="K15">
        <v>1.28</v>
      </c>
    </row>
    <row r="16" spans="1:11" ht="12.75">
      <c r="A16" t="s">
        <v>207</v>
      </c>
      <c r="B16" t="s">
        <v>208</v>
      </c>
      <c r="C16">
        <v>2</v>
      </c>
      <c r="E16">
        <v>6</v>
      </c>
      <c r="F16">
        <v>6</v>
      </c>
      <c r="G16">
        <v>12</v>
      </c>
      <c r="H16">
        <v>2.63</v>
      </c>
      <c r="I16">
        <v>2</v>
      </c>
      <c r="J16" s="10">
        <v>12</v>
      </c>
      <c r="K16">
        <v>0.66</v>
      </c>
    </row>
    <row r="17" spans="1:11" ht="12.75">
      <c r="A17" t="s">
        <v>148</v>
      </c>
      <c r="B17" t="s">
        <v>149</v>
      </c>
      <c r="C17">
        <v>2</v>
      </c>
      <c r="E17">
        <v>6</v>
      </c>
      <c r="F17">
        <v>6</v>
      </c>
      <c r="G17">
        <v>12</v>
      </c>
      <c r="H17">
        <v>2.63</v>
      </c>
      <c r="I17">
        <v>9</v>
      </c>
      <c r="J17" s="10">
        <v>71</v>
      </c>
      <c r="K17">
        <v>3.95</v>
      </c>
    </row>
    <row r="18" spans="1:11" ht="12.75">
      <c r="A18" t="s">
        <v>209</v>
      </c>
      <c r="B18" t="s">
        <v>210</v>
      </c>
      <c r="C18">
        <v>2</v>
      </c>
      <c r="E18">
        <v>3</v>
      </c>
      <c r="F18">
        <v>5</v>
      </c>
      <c r="G18">
        <v>8</v>
      </c>
      <c r="H18">
        <v>1.75</v>
      </c>
      <c r="I18">
        <v>2</v>
      </c>
      <c r="J18" s="10">
        <v>8</v>
      </c>
      <c r="K18">
        <v>0.44</v>
      </c>
    </row>
    <row r="19" spans="1:11" ht="12.75">
      <c r="A19" t="s">
        <v>211</v>
      </c>
      <c r="B19" t="s">
        <v>212</v>
      </c>
      <c r="C19">
        <v>1</v>
      </c>
      <c r="E19">
        <v>8</v>
      </c>
      <c r="F19">
        <v>2</v>
      </c>
      <c r="G19">
        <v>10</v>
      </c>
      <c r="H19">
        <v>2.19</v>
      </c>
      <c r="I19">
        <v>1</v>
      </c>
      <c r="J19" s="10">
        <v>10</v>
      </c>
      <c r="K19">
        <v>0.55</v>
      </c>
    </row>
    <row r="20" spans="1:11" ht="12.75">
      <c r="A20" t="s">
        <v>213</v>
      </c>
      <c r="B20" t="s">
        <v>214</v>
      </c>
      <c r="C20">
        <v>1</v>
      </c>
      <c r="E20">
        <v>3</v>
      </c>
      <c r="F20">
        <v>6</v>
      </c>
      <c r="G20">
        <v>9</v>
      </c>
      <c r="H20">
        <v>1.97</v>
      </c>
      <c r="I20">
        <v>1</v>
      </c>
      <c r="J20" s="10">
        <v>9</v>
      </c>
      <c r="K20">
        <v>0.5</v>
      </c>
    </row>
    <row r="21" spans="1:11" ht="12.75">
      <c r="A21" t="s">
        <v>215</v>
      </c>
      <c r="B21" t="s">
        <v>216</v>
      </c>
      <c r="C21">
        <v>1</v>
      </c>
      <c r="E21">
        <v>6</v>
      </c>
      <c r="F21">
        <v>3</v>
      </c>
      <c r="G21">
        <v>9</v>
      </c>
      <c r="H21">
        <v>1.97</v>
      </c>
      <c r="I21">
        <v>1</v>
      </c>
      <c r="J21" s="10">
        <v>9</v>
      </c>
      <c r="K21">
        <v>0.5</v>
      </c>
    </row>
    <row r="22" spans="1:11" ht="12.75">
      <c r="A22" t="s">
        <v>217</v>
      </c>
      <c r="B22" t="s">
        <v>218</v>
      </c>
      <c r="C22">
        <v>1</v>
      </c>
      <c r="E22">
        <v>3</v>
      </c>
      <c r="F22">
        <v>6</v>
      </c>
      <c r="G22">
        <v>9</v>
      </c>
      <c r="H22">
        <v>1.97</v>
      </c>
      <c r="I22">
        <v>1</v>
      </c>
      <c r="J22" s="10">
        <v>9</v>
      </c>
      <c r="K22">
        <v>0.5</v>
      </c>
    </row>
    <row r="23" spans="1:11" ht="12.75">
      <c r="A23" t="s">
        <v>219</v>
      </c>
      <c r="B23" t="s">
        <v>220</v>
      </c>
      <c r="C23">
        <v>1</v>
      </c>
      <c r="E23">
        <v>3</v>
      </c>
      <c r="F23">
        <v>5</v>
      </c>
      <c r="G23">
        <v>8</v>
      </c>
      <c r="H23">
        <v>1.75</v>
      </c>
      <c r="I23">
        <v>1</v>
      </c>
      <c r="J23" s="10">
        <v>8</v>
      </c>
      <c r="K23">
        <v>0.44</v>
      </c>
    </row>
    <row r="24" spans="1:11" ht="12.75">
      <c r="A24" t="s">
        <v>185</v>
      </c>
      <c r="B24" t="s">
        <v>186</v>
      </c>
      <c r="C24">
        <v>2</v>
      </c>
      <c r="D24">
        <v>1</v>
      </c>
      <c r="E24">
        <v>4</v>
      </c>
      <c r="F24">
        <v>4</v>
      </c>
      <c r="G24">
        <v>8</v>
      </c>
      <c r="H24">
        <v>1.75</v>
      </c>
      <c r="I24">
        <v>3</v>
      </c>
      <c r="J24" s="10">
        <v>13</v>
      </c>
      <c r="K24">
        <v>0.72</v>
      </c>
    </row>
    <row r="25" spans="1:11" ht="12.75">
      <c r="A25" s="6" t="s">
        <v>221</v>
      </c>
      <c r="B25" t="s">
        <v>222</v>
      </c>
      <c r="C25">
        <v>1</v>
      </c>
      <c r="E25">
        <v>5</v>
      </c>
      <c r="F25">
        <v>3</v>
      </c>
      <c r="G25">
        <v>8</v>
      </c>
      <c r="H25">
        <v>1.75</v>
      </c>
      <c r="I25">
        <v>1</v>
      </c>
      <c r="J25" s="10">
        <v>8</v>
      </c>
      <c r="K25">
        <v>0.44</v>
      </c>
    </row>
    <row r="26" spans="1:11" ht="12.75">
      <c r="A26" t="s">
        <v>191</v>
      </c>
      <c r="B26" t="s">
        <v>192</v>
      </c>
      <c r="C26">
        <v>1</v>
      </c>
      <c r="E26">
        <v>5</v>
      </c>
      <c r="F26">
        <v>2</v>
      </c>
      <c r="G26">
        <v>7</v>
      </c>
      <c r="H26">
        <v>1.53</v>
      </c>
      <c r="I26">
        <v>2</v>
      </c>
      <c r="J26" s="10">
        <v>9</v>
      </c>
      <c r="K26">
        <v>0.5</v>
      </c>
    </row>
    <row r="27" spans="1:11" ht="12.75">
      <c r="A27" t="s">
        <v>26</v>
      </c>
      <c r="B27" t="s">
        <v>130</v>
      </c>
      <c r="C27">
        <v>2</v>
      </c>
      <c r="D27">
        <v>1</v>
      </c>
      <c r="E27">
        <v>4</v>
      </c>
      <c r="F27">
        <v>2</v>
      </c>
      <c r="G27">
        <v>6</v>
      </c>
      <c r="H27">
        <v>1.31</v>
      </c>
      <c r="I27">
        <v>12</v>
      </c>
      <c r="J27" s="10">
        <v>71</v>
      </c>
      <c r="K27">
        <v>3.95</v>
      </c>
    </row>
    <row r="28" spans="1:11" ht="12.75">
      <c r="A28" t="s">
        <v>223</v>
      </c>
      <c r="B28" t="s">
        <v>224</v>
      </c>
      <c r="C28">
        <v>1</v>
      </c>
      <c r="E28">
        <v>4</v>
      </c>
      <c r="F28">
        <v>2</v>
      </c>
      <c r="G28">
        <v>6</v>
      </c>
      <c r="H28">
        <v>1.31</v>
      </c>
      <c r="I28">
        <v>1</v>
      </c>
      <c r="J28" s="10">
        <v>6</v>
      </c>
      <c r="K28">
        <v>0.33</v>
      </c>
    </row>
    <row r="29" spans="1:11" ht="12.75">
      <c r="A29" t="s">
        <v>225</v>
      </c>
      <c r="B29" t="s">
        <v>226</v>
      </c>
      <c r="C29">
        <v>2</v>
      </c>
      <c r="D29">
        <v>1</v>
      </c>
      <c r="E29">
        <v>2</v>
      </c>
      <c r="F29">
        <v>4</v>
      </c>
      <c r="G29">
        <v>6</v>
      </c>
      <c r="H29">
        <v>1.31</v>
      </c>
      <c r="I29">
        <v>2</v>
      </c>
      <c r="J29" s="10">
        <v>6</v>
      </c>
      <c r="K29">
        <v>0.33</v>
      </c>
    </row>
    <row r="30" spans="1:11" ht="12.75">
      <c r="A30" t="s">
        <v>198</v>
      </c>
      <c r="B30" t="s">
        <v>199</v>
      </c>
      <c r="C30">
        <v>1</v>
      </c>
      <c r="E30">
        <v>4</v>
      </c>
      <c r="F30">
        <v>1</v>
      </c>
      <c r="G30">
        <v>5</v>
      </c>
      <c r="H30">
        <v>1.09</v>
      </c>
      <c r="I30">
        <v>2</v>
      </c>
      <c r="J30" s="10">
        <v>5</v>
      </c>
      <c r="K30">
        <v>0.27</v>
      </c>
    </row>
    <row r="31" spans="1:11" ht="12.75">
      <c r="A31" t="s">
        <v>227</v>
      </c>
      <c r="B31" t="s">
        <v>228</v>
      </c>
      <c r="C31">
        <v>2</v>
      </c>
      <c r="D31">
        <v>1</v>
      </c>
      <c r="E31">
        <v>2</v>
      </c>
      <c r="F31">
        <v>3</v>
      </c>
      <c r="G31">
        <v>5</v>
      </c>
      <c r="H31">
        <v>1.09</v>
      </c>
      <c r="I31">
        <v>2</v>
      </c>
      <c r="J31" s="10">
        <v>5</v>
      </c>
      <c r="K31">
        <v>0.27</v>
      </c>
    </row>
    <row r="32" spans="1:11" ht="12.75">
      <c r="A32" t="s">
        <v>162</v>
      </c>
      <c r="B32" t="s">
        <v>163</v>
      </c>
      <c r="C32">
        <v>1</v>
      </c>
      <c r="E32">
        <v>2</v>
      </c>
      <c r="F32">
        <v>3</v>
      </c>
      <c r="G32">
        <v>5</v>
      </c>
      <c r="H32">
        <v>1.09</v>
      </c>
      <c r="I32">
        <v>3</v>
      </c>
      <c r="J32" s="10">
        <v>15</v>
      </c>
      <c r="K32">
        <v>0.83</v>
      </c>
    </row>
    <row r="33" spans="1:11" ht="12.75">
      <c r="A33" t="s">
        <v>229</v>
      </c>
      <c r="B33" t="s">
        <v>230</v>
      </c>
      <c r="C33">
        <v>1</v>
      </c>
      <c r="E33">
        <v>1</v>
      </c>
      <c r="F33">
        <v>4</v>
      </c>
      <c r="G33">
        <v>5</v>
      </c>
      <c r="H33">
        <v>1.09</v>
      </c>
      <c r="I33">
        <v>1</v>
      </c>
      <c r="J33" s="10">
        <v>5</v>
      </c>
      <c r="K33">
        <v>0.27</v>
      </c>
    </row>
    <row r="34" spans="1:11" ht="12.75">
      <c r="A34" t="s">
        <v>57</v>
      </c>
      <c r="B34" t="s">
        <v>231</v>
      </c>
      <c r="C34">
        <v>1</v>
      </c>
      <c r="E34">
        <v>2</v>
      </c>
      <c r="F34">
        <v>1</v>
      </c>
      <c r="G34">
        <v>3</v>
      </c>
      <c r="H34">
        <v>0.65</v>
      </c>
      <c r="I34">
        <v>1</v>
      </c>
      <c r="J34" s="10">
        <v>3</v>
      </c>
      <c r="K34">
        <v>0.16</v>
      </c>
    </row>
    <row r="35" spans="1:11" ht="12.75">
      <c r="A35" t="s">
        <v>114</v>
      </c>
      <c r="B35" t="s">
        <v>115</v>
      </c>
      <c r="C35">
        <v>1</v>
      </c>
      <c r="E35">
        <v>1</v>
      </c>
      <c r="F35">
        <v>0</v>
      </c>
      <c r="G35">
        <v>1</v>
      </c>
      <c r="H35">
        <v>0.21</v>
      </c>
      <c r="I35">
        <v>4</v>
      </c>
      <c r="J35" s="10">
        <v>20</v>
      </c>
      <c r="K35">
        <v>1.11</v>
      </c>
    </row>
    <row r="36" spans="1:11" ht="12.75">
      <c r="A36" t="s">
        <v>232</v>
      </c>
      <c r="B36" t="s">
        <v>182</v>
      </c>
      <c r="C36">
        <v>1</v>
      </c>
      <c r="E36">
        <v>0</v>
      </c>
      <c r="F36">
        <v>1</v>
      </c>
      <c r="G36">
        <v>1</v>
      </c>
      <c r="H36">
        <v>0.21</v>
      </c>
      <c r="I36">
        <v>3</v>
      </c>
      <c r="J36" s="10">
        <v>10</v>
      </c>
      <c r="K36">
        <v>0.55</v>
      </c>
    </row>
    <row r="37" spans="1:11" ht="12.75">
      <c r="A37" t="s">
        <v>233</v>
      </c>
      <c r="B37" t="s">
        <v>234</v>
      </c>
      <c r="C37">
        <v>1</v>
      </c>
      <c r="D37">
        <v>1</v>
      </c>
      <c r="I37">
        <v>1</v>
      </c>
      <c r="J37" s="10">
        <v>0</v>
      </c>
      <c r="K37">
        <v>0</v>
      </c>
    </row>
    <row r="38" spans="1:12" ht="12.75">
      <c r="A38" t="s">
        <v>235</v>
      </c>
      <c r="C38">
        <v>2</v>
      </c>
      <c r="D38">
        <v>1</v>
      </c>
      <c r="I38">
        <v>2</v>
      </c>
      <c r="J38" s="10">
        <v>0</v>
      </c>
      <c r="K38">
        <v>0</v>
      </c>
      <c r="L38" t="s">
        <v>236</v>
      </c>
    </row>
    <row r="39" spans="1:11" ht="12.75">
      <c r="A39" t="s">
        <v>189</v>
      </c>
      <c r="B39" t="s">
        <v>190</v>
      </c>
      <c r="C39">
        <v>1</v>
      </c>
      <c r="D39">
        <v>1</v>
      </c>
      <c r="I39">
        <v>2</v>
      </c>
      <c r="J39" s="10">
        <v>6</v>
      </c>
      <c r="K39">
        <v>0.33</v>
      </c>
    </row>
    <row r="40" spans="1:11" ht="12.75">
      <c r="A40" t="s">
        <v>83</v>
      </c>
      <c r="B40" t="s">
        <v>237</v>
      </c>
      <c r="C40">
        <v>1</v>
      </c>
      <c r="D40">
        <v>1</v>
      </c>
      <c r="I40">
        <v>17</v>
      </c>
      <c r="J40" s="10">
        <v>108</v>
      </c>
      <c r="K40">
        <v>4.74</v>
      </c>
    </row>
    <row r="41" spans="1:11" ht="12.75">
      <c r="A41" t="s">
        <v>238</v>
      </c>
      <c r="B41" t="s">
        <v>239</v>
      </c>
      <c r="C41">
        <v>1</v>
      </c>
      <c r="D41">
        <v>1</v>
      </c>
      <c r="I41">
        <v>1</v>
      </c>
      <c r="J41" s="10">
        <v>0</v>
      </c>
      <c r="K41">
        <v>0</v>
      </c>
    </row>
    <row r="42" spans="1:11" ht="12.75">
      <c r="A42" t="s">
        <v>240</v>
      </c>
      <c r="B42" t="s">
        <v>87</v>
      </c>
      <c r="C42">
        <v>1</v>
      </c>
      <c r="D42">
        <v>1</v>
      </c>
      <c r="I42">
        <v>11</v>
      </c>
      <c r="J42" s="10">
        <v>53</v>
      </c>
      <c r="K42">
        <v>1.84</v>
      </c>
    </row>
    <row r="43" spans="1:7" ht="12.75">
      <c r="A43" s="2" t="s">
        <v>8</v>
      </c>
      <c r="C43" s="2">
        <v>80</v>
      </c>
      <c r="D43" s="2">
        <v>14</v>
      </c>
      <c r="E43" s="2">
        <v>227</v>
      </c>
      <c r="F43" s="2">
        <v>228</v>
      </c>
      <c r="G43" s="2">
        <v>455</v>
      </c>
    </row>
    <row r="44" spans="1:3" ht="12.75">
      <c r="A44" s="2" t="s">
        <v>51</v>
      </c>
      <c r="B44" s="2">
        <v>89.76</v>
      </c>
      <c r="C44" t="s">
        <v>180</v>
      </c>
    </row>
    <row r="47" spans="1:2" ht="12.75">
      <c r="A47" t="s">
        <v>141</v>
      </c>
      <c r="B47" s="9">
        <f>40-5</f>
        <v>35</v>
      </c>
    </row>
    <row r="48" spans="1:2" ht="12.75">
      <c r="A48" t="s">
        <v>169</v>
      </c>
      <c r="B48">
        <v>66</v>
      </c>
    </row>
    <row r="50" ht="12.75">
      <c r="B50" s="9">
        <f>4*(B47*B48)/(B47+B48)</f>
        <v>91.48514851485149</v>
      </c>
    </row>
  </sheetData>
  <sheetProtection selectLockedCells="1" selectUnlockedCells="1"/>
  <printOptions gridLines="1"/>
  <pageMargins left="0.5902777777777778" right="0.5902777777777778" top="0.5118055555555555" bottom="0.511805555555555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zoomScale="90" zoomScaleNormal="90" zoomScalePageLayoutView="0" workbookViewId="0" topLeftCell="A26">
      <selection activeCell="C39" sqref="C39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8" width="7.421875" style="0" customWidth="1"/>
    <col min="9" max="10" width="8.14062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7.25" customHeight="1">
      <c r="A2" s="3" t="s">
        <v>241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5" t="s">
        <v>10</v>
      </c>
      <c r="J2" s="5" t="s">
        <v>11</v>
      </c>
      <c r="K2" s="5" t="s">
        <v>12</v>
      </c>
      <c r="L2" s="2" t="s">
        <v>13</v>
      </c>
    </row>
    <row r="3" spans="1:11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2.75" hidden="1"/>
    <row r="5" spans="1:11" ht="12.75">
      <c r="A5" t="s">
        <v>198</v>
      </c>
      <c r="B5" t="s">
        <v>199</v>
      </c>
      <c r="C5">
        <v>3</v>
      </c>
      <c r="E5">
        <v>9</v>
      </c>
      <c r="F5">
        <v>13</v>
      </c>
      <c r="G5">
        <v>22</v>
      </c>
      <c r="H5">
        <v>9.09</v>
      </c>
      <c r="I5">
        <v>5</v>
      </c>
      <c r="J5">
        <v>27</v>
      </c>
      <c r="K5">
        <v>1.55</v>
      </c>
    </row>
    <row r="6" spans="1:11" ht="12.75">
      <c r="A6" t="s">
        <v>176</v>
      </c>
      <c r="B6" t="s">
        <v>177</v>
      </c>
      <c r="C6">
        <v>3</v>
      </c>
      <c r="E6">
        <v>11</v>
      </c>
      <c r="F6">
        <v>6</v>
      </c>
      <c r="G6">
        <v>17</v>
      </c>
      <c r="H6">
        <v>7.02</v>
      </c>
      <c r="I6">
        <v>13</v>
      </c>
      <c r="J6">
        <v>86</v>
      </c>
      <c r="K6">
        <v>4.93</v>
      </c>
    </row>
    <row r="7" spans="1:11" ht="12.75">
      <c r="A7" t="s">
        <v>242</v>
      </c>
      <c r="B7" t="s">
        <v>243</v>
      </c>
      <c r="C7">
        <v>2</v>
      </c>
      <c r="E7">
        <v>6</v>
      </c>
      <c r="F7">
        <v>9</v>
      </c>
      <c r="G7">
        <v>15</v>
      </c>
      <c r="H7" s="13">
        <v>6.2</v>
      </c>
      <c r="I7">
        <v>2</v>
      </c>
      <c r="J7">
        <v>15</v>
      </c>
      <c r="K7">
        <v>0.86</v>
      </c>
    </row>
    <row r="8" spans="1:12" ht="12.75">
      <c r="A8" t="s">
        <v>203</v>
      </c>
      <c r="B8" t="s">
        <v>204</v>
      </c>
      <c r="C8">
        <v>3</v>
      </c>
      <c r="D8">
        <v>1</v>
      </c>
      <c r="E8">
        <v>6</v>
      </c>
      <c r="F8">
        <v>9</v>
      </c>
      <c r="G8">
        <v>15</v>
      </c>
      <c r="H8">
        <v>6.2</v>
      </c>
      <c r="I8">
        <v>8</v>
      </c>
      <c r="J8">
        <v>58</v>
      </c>
      <c r="K8">
        <v>3.32</v>
      </c>
      <c r="L8" t="s">
        <v>244</v>
      </c>
    </row>
    <row r="9" spans="1:11" ht="12.75">
      <c r="A9" t="s">
        <v>205</v>
      </c>
      <c r="B9" t="s">
        <v>206</v>
      </c>
      <c r="C9">
        <v>3</v>
      </c>
      <c r="D9">
        <v>1</v>
      </c>
      <c r="E9">
        <v>10</v>
      </c>
      <c r="F9">
        <v>4</v>
      </c>
      <c r="G9">
        <v>14</v>
      </c>
      <c r="H9">
        <v>5.79</v>
      </c>
      <c r="I9">
        <v>6</v>
      </c>
      <c r="J9">
        <v>41</v>
      </c>
      <c r="K9">
        <v>2.35</v>
      </c>
    </row>
    <row r="10" spans="1:11" ht="12.75">
      <c r="A10" t="s">
        <v>245</v>
      </c>
      <c r="B10" t="s">
        <v>246</v>
      </c>
      <c r="C10">
        <v>2</v>
      </c>
      <c r="E10">
        <v>4</v>
      </c>
      <c r="F10">
        <v>10</v>
      </c>
      <c r="G10">
        <v>14</v>
      </c>
      <c r="H10">
        <v>5.79</v>
      </c>
      <c r="I10">
        <v>2</v>
      </c>
      <c r="J10">
        <v>14</v>
      </c>
      <c r="K10">
        <v>0.8</v>
      </c>
    </row>
    <row r="11" spans="1:11" ht="12.75">
      <c r="A11" t="s">
        <v>247</v>
      </c>
      <c r="B11" t="s">
        <v>248</v>
      </c>
      <c r="C11">
        <v>2</v>
      </c>
      <c r="E11">
        <v>2</v>
      </c>
      <c r="F11">
        <v>11</v>
      </c>
      <c r="G11">
        <v>13</v>
      </c>
      <c r="H11">
        <v>5.37</v>
      </c>
      <c r="I11">
        <v>2</v>
      </c>
      <c r="J11">
        <v>13</v>
      </c>
      <c r="K11">
        <v>0.74</v>
      </c>
    </row>
    <row r="12" spans="1:11" ht="12.75">
      <c r="A12" t="s">
        <v>174</v>
      </c>
      <c r="B12" t="s">
        <v>175</v>
      </c>
      <c r="C12">
        <v>1</v>
      </c>
      <c r="E12">
        <v>7</v>
      </c>
      <c r="F12">
        <v>5</v>
      </c>
      <c r="G12">
        <v>12</v>
      </c>
      <c r="H12">
        <v>4.96</v>
      </c>
      <c r="I12">
        <v>5</v>
      </c>
      <c r="J12">
        <v>43</v>
      </c>
      <c r="K12">
        <v>2.46</v>
      </c>
    </row>
    <row r="13" spans="1:11" ht="12.75">
      <c r="A13" t="s">
        <v>249</v>
      </c>
      <c r="B13" t="s">
        <v>250</v>
      </c>
      <c r="C13">
        <v>1</v>
      </c>
      <c r="E13">
        <v>7</v>
      </c>
      <c r="F13">
        <v>5</v>
      </c>
      <c r="G13">
        <v>12</v>
      </c>
      <c r="H13">
        <v>4.96</v>
      </c>
      <c r="I13">
        <v>1</v>
      </c>
      <c r="J13">
        <v>12</v>
      </c>
      <c r="K13">
        <v>0.69</v>
      </c>
    </row>
    <row r="14" spans="1:11" ht="12.75">
      <c r="A14" t="s">
        <v>148</v>
      </c>
      <c r="B14" t="s">
        <v>149</v>
      </c>
      <c r="C14">
        <v>2</v>
      </c>
      <c r="E14">
        <v>5</v>
      </c>
      <c r="F14">
        <v>5</v>
      </c>
      <c r="G14">
        <v>10</v>
      </c>
      <c r="H14">
        <v>4.13</v>
      </c>
      <c r="I14">
        <v>11</v>
      </c>
      <c r="J14">
        <v>81</v>
      </c>
      <c r="K14">
        <v>4.64</v>
      </c>
    </row>
    <row r="15" spans="1:11" ht="12.75">
      <c r="A15" t="s">
        <v>251</v>
      </c>
      <c r="B15" t="s">
        <v>84</v>
      </c>
      <c r="C15">
        <v>1</v>
      </c>
      <c r="E15">
        <v>6</v>
      </c>
      <c r="F15">
        <v>3</v>
      </c>
      <c r="G15">
        <v>9</v>
      </c>
      <c r="H15">
        <v>3.72</v>
      </c>
      <c r="I15">
        <v>18</v>
      </c>
      <c r="J15">
        <v>117</v>
      </c>
      <c r="K15" s="7">
        <v>5.44</v>
      </c>
    </row>
    <row r="16" spans="1:12" ht="12.75">
      <c r="A16" t="s">
        <v>57</v>
      </c>
      <c r="B16" t="s">
        <v>231</v>
      </c>
      <c r="C16">
        <v>2</v>
      </c>
      <c r="D16">
        <v>1</v>
      </c>
      <c r="E16">
        <v>3</v>
      </c>
      <c r="F16">
        <v>6</v>
      </c>
      <c r="G16">
        <v>9</v>
      </c>
      <c r="H16">
        <v>3.72</v>
      </c>
      <c r="I16">
        <v>3</v>
      </c>
      <c r="J16">
        <v>12</v>
      </c>
      <c r="K16">
        <v>0.69</v>
      </c>
      <c r="L16" t="s">
        <v>244</v>
      </c>
    </row>
    <row r="17" spans="1:11" ht="12.75">
      <c r="A17" t="s">
        <v>252</v>
      </c>
      <c r="B17" t="s">
        <v>253</v>
      </c>
      <c r="C17">
        <v>1</v>
      </c>
      <c r="E17">
        <v>4</v>
      </c>
      <c r="F17">
        <v>5</v>
      </c>
      <c r="G17">
        <v>9</v>
      </c>
      <c r="H17">
        <v>3.72</v>
      </c>
      <c r="I17">
        <v>1</v>
      </c>
      <c r="J17">
        <v>9</v>
      </c>
      <c r="K17">
        <v>0.52</v>
      </c>
    </row>
    <row r="18" spans="1:11" ht="12.75">
      <c r="A18" t="s">
        <v>150</v>
      </c>
      <c r="B18" t="s">
        <v>151</v>
      </c>
      <c r="C18">
        <v>1</v>
      </c>
      <c r="E18">
        <v>3</v>
      </c>
      <c r="F18">
        <v>5</v>
      </c>
      <c r="G18">
        <v>8</v>
      </c>
      <c r="H18">
        <v>3.31</v>
      </c>
      <c r="I18">
        <v>9</v>
      </c>
      <c r="J18">
        <v>47</v>
      </c>
      <c r="K18">
        <v>2.69</v>
      </c>
    </row>
    <row r="19" spans="1:11" ht="12.75">
      <c r="A19" t="s">
        <v>229</v>
      </c>
      <c r="B19" t="s">
        <v>254</v>
      </c>
      <c r="C19">
        <v>1</v>
      </c>
      <c r="E19">
        <v>5</v>
      </c>
      <c r="F19">
        <v>3</v>
      </c>
      <c r="G19">
        <v>8</v>
      </c>
      <c r="H19">
        <v>3.31</v>
      </c>
      <c r="I19">
        <v>2</v>
      </c>
      <c r="J19">
        <v>13</v>
      </c>
      <c r="K19">
        <v>0.74</v>
      </c>
    </row>
    <row r="20" spans="1:11" ht="12.75">
      <c r="A20" t="s">
        <v>207</v>
      </c>
      <c r="B20" t="s">
        <v>208</v>
      </c>
      <c r="C20">
        <v>1</v>
      </c>
      <c r="E20">
        <v>2</v>
      </c>
      <c r="F20">
        <v>6</v>
      </c>
      <c r="G20">
        <v>8</v>
      </c>
      <c r="H20">
        <v>3.31</v>
      </c>
      <c r="I20">
        <v>3</v>
      </c>
      <c r="J20">
        <v>20</v>
      </c>
      <c r="K20">
        <v>1.15</v>
      </c>
    </row>
    <row r="21" spans="1:11" ht="12.75">
      <c r="A21" t="s">
        <v>219</v>
      </c>
      <c r="B21" t="s">
        <v>220</v>
      </c>
      <c r="C21">
        <v>1</v>
      </c>
      <c r="E21">
        <v>5</v>
      </c>
      <c r="F21">
        <v>3</v>
      </c>
      <c r="G21">
        <v>8</v>
      </c>
      <c r="H21">
        <v>3.31</v>
      </c>
      <c r="I21">
        <v>2</v>
      </c>
      <c r="J21">
        <v>16</v>
      </c>
      <c r="K21">
        <v>0.92</v>
      </c>
    </row>
    <row r="22" spans="1:11" ht="12.75">
      <c r="A22" t="s">
        <v>255</v>
      </c>
      <c r="B22" t="s">
        <v>216</v>
      </c>
      <c r="C22">
        <v>1</v>
      </c>
      <c r="E22">
        <v>3</v>
      </c>
      <c r="F22">
        <v>4</v>
      </c>
      <c r="G22">
        <v>7</v>
      </c>
      <c r="H22">
        <v>2.89</v>
      </c>
      <c r="I22">
        <v>2</v>
      </c>
      <c r="J22">
        <v>16</v>
      </c>
      <c r="K22">
        <v>0.92</v>
      </c>
    </row>
    <row r="23" spans="1:11" ht="12.75">
      <c r="A23" s="6" t="s">
        <v>213</v>
      </c>
      <c r="B23" t="s">
        <v>256</v>
      </c>
      <c r="C23">
        <v>1</v>
      </c>
      <c r="E23">
        <v>1</v>
      </c>
      <c r="F23">
        <v>6</v>
      </c>
      <c r="G23">
        <v>7</v>
      </c>
      <c r="H23">
        <v>2.89</v>
      </c>
      <c r="I23">
        <v>2</v>
      </c>
      <c r="J23">
        <v>16</v>
      </c>
      <c r="K23">
        <v>0.92</v>
      </c>
    </row>
    <row r="24" spans="1:11" ht="12.75">
      <c r="A24" t="s">
        <v>53</v>
      </c>
      <c r="B24" t="s">
        <v>54</v>
      </c>
      <c r="C24">
        <v>1</v>
      </c>
      <c r="E24">
        <v>2</v>
      </c>
      <c r="F24">
        <v>5</v>
      </c>
      <c r="G24">
        <v>7</v>
      </c>
      <c r="H24">
        <v>2.89</v>
      </c>
      <c r="I24">
        <v>36</v>
      </c>
      <c r="J24">
        <v>291</v>
      </c>
      <c r="K24">
        <v>10.6</v>
      </c>
    </row>
    <row r="25" spans="1:11" ht="12.75">
      <c r="A25" t="s">
        <v>257</v>
      </c>
      <c r="B25" t="s">
        <v>155</v>
      </c>
      <c r="C25">
        <v>1</v>
      </c>
      <c r="E25">
        <v>5</v>
      </c>
      <c r="F25">
        <v>1</v>
      </c>
      <c r="G25">
        <v>6</v>
      </c>
      <c r="H25">
        <v>2.48</v>
      </c>
      <c r="I25">
        <v>2</v>
      </c>
      <c r="J25">
        <v>17</v>
      </c>
      <c r="K25">
        <v>0.97</v>
      </c>
    </row>
    <row r="26" spans="1:11" ht="12.75">
      <c r="A26" t="s">
        <v>258</v>
      </c>
      <c r="B26" t="s">
        <v>259</v>
      </c>
      <c r="C26">
        <v>1</v>
      </c>
      <c r="E26">
        <v>2</v>
      </c>
      <c r="F26">
        <v>3</v>
      </c>
      <c r="G26">
        <v>5</v>
      </c>
      <c r="H26">
        <v>2.07</v>
      </c>
      <c r="I26">
        <v>1</v>
      </c>
      <c r="J26">
        <v>5</v>
      </c>
      <c r="K26">
        <v>0.29</v>
      </c>
    </row>
    <row r="27" spans="1:11" ht="12.75">
      <c r="A27" t="s">
        <v>103</v>
      </c>
      <c r="B27" t="s">
        <v>96</v>
      </c>
      <c r="C27">
        <v>1</v>
      </c>
      <c r="E27">
        <v>1</v>
      </c>
      <c r="F27">
        <v>3</v>
      </c>
      <c r="G27">
        <v>4</v>
      </c>
      <c r="H27">
        <v>1.65</v>
      </c>
      <c r="I27">
        <v>21</v>
      </c>
      <c r="J27">
        <v>128</v>
      </c>
      <c r="K27" s="7">
        <v>6.19</v>
      </c>
    </row>
    <row r="28" spans="1:11" ht="12.75">
      <c r="A28" t="s">
        <v>260</v>
      </c>
      <c r="B28" t="s">
        <v>261</v>
      </c>
      <c r="C28">
        <v>1</v>
      </c>
      <c r="E28">
        <v>0</v>
      </c>
      <c r="F28">
        <v>3</v>
      </c>
      <c r="G28">
        <v>3</v>
      </c>
      <c r="H28">
        <v>1.24</v>
      </c>
      <c r="I28">
        <v>1</v>
      </c>
      <c r="J28">
        <v>3</v>
      </c>
      <c r="K28">
        <v>0.17</v>
      </c>
    </row>
    <row r="29" spans="1:11" ht="12.75">
      <c r="A29" t="s">
        <v>262</v>
      </c>
      <c r="B29" t="s">
        <v>263</v>
      </c>
      <c r="C29">
        <v>1</v>
      </c>
      <c r="D29">
        <v>1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</row>
    <row r="30" spans="1:11" ht="12.75">
      <c r="A30" t="s">
        <v>133</v>
      </c>
      <c r="B30" t="s">
        <v>134</v>
      </c>
      <c r="C30">
        <v>1</v>
      </c>
      <c r="D30">
        <v>1</v>
      </c>
      <c r="E30">
        <v>0</v>
      </c>
      <c r="F30">
        <v>0</v>
      </c>
      <c r="G30">
        <v>0</v>
      </c>
      <c r="H30">
        <v>0</v>
      </c>
      <c r="I30">
        <v>6</v>
      </c>
      <c r="J30">
        <v>22</v>
      </c>
      <c r="K30">
        <v>1.26</v>
      </c>
    </row>
    <row r="31" spans="1:11" ht="12.75">
      <c r="A31" t="s">
        <v>178</v>
      </c>
      <c r="B31" t="s">
        <v>179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8</v>
      </c>
      <c r="J31">
        <v>28</v>
      </c>
      <c r="K31">
        <v>1.6</v>
      </c>
    </row>
    <row r="32" spans="1:7" ht="12.75">
      <c r="A32" s="2" t="s">
        <v>8</v>
      </c>
      <c r="C32" s="2">
        <f>SUM(C5:C31)</f>
        <v>40</v>
      </c>
      <c r="D32" s="2">
        <v>6</v>
      </c>
      <c r="E32" s="2">
        <f>SUM(E5:E31)</f>
        <v>109</v>
      </c>
      <c r="F32" s="2">
        <f>SUM(F5:F31)</f>
        <v>133</v>
      </c>
      <c r="G32" s="2">
        <f>SUM(G5:G31)</f>
        <v>242</v>
      </c>
    </row>
    <row r="33" spans="1:2" ht="12.75">
      <c r="A33" s="2" t="s">
        <v>51</v>
      </c>
      <c r="B33" s="2">
        <v>64.48</v>
      </c>
    </row>
    <row r="35" spans="1:2" ht="12.75">
      <c r="A35" t="s">
        <v>141</v>
      </c>
      <c r="B35">
        <v>24</v>
      </c>
    </row>
    <row r="36" spans="1:3" ht="12.75">
      <c r="A36" t="s">
        <v>169</v>
      </c>
      <c r="B36">
        <v>34</v>
      </c>
      <c r="C36">
        <v>50</v>
      </c>
    </row>
    <row r="38" spans="2:3" ht="12.75">
      <c r="B38" s="9">
        <f>4*(B35*B36)/(B35+B36)</f>
        <v>56.275862068965516</v>
      </c>
      <c r="C38" s="9">
        <f>4*(B35*C36)/(B35+C36)</f>
        <v>64.86486486486487</v>
      </c>
    </row>
    <row r="41" ht="12.75">
      <c r="B41" s="9">
        <f>B38/B36*50</f>
        <v>82.75862068965517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B41" sqref="B41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8" width="7.421875" style="0" customWidth="1"/>
    <col min="9" max="9" width="8.140625" style="0" customWidth="1"/>
    <col min="10" max="10" width="8.28125" style="0" customWidth="1"/>
    <col min="11" max="11" width="12.28125" style="0" customWidth="1"/>
    <col min="12" max="12" width="28.421875" style="0" customWidth="1"/>
  </cols>
  <sheetData>
    <row r="1" spans="1:10" ht="15">
      <c r="A1" s="1" t="s">
        <v>264</v>
      </c>
      <c r="I1" s="2" t="s">
        <v>1</v>
      </c>
      <c r="J1" s="2" t="s">
        <v>1</v>
      </c>
    </row>
    <row r="2" spans="1:12" ht="15.75" customHeight="1">
      <c r="A2" s="3" t="s">
        <v>265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13</v>
      </c>
    </row>
    <row r="3" spans="1:11" ht="12.75">
      <c r="A3" t="s">
        <v>178</v>
      </c>
      <c r="B3" t="s">
        <v>179</v>
      </c>
      <c r="C3">
        <v>1</v>
      </c>
      <c r="E3">
        <v>5</v>
      </c>
      <c r="F3">
        <v>3</v>
      </c>
      <c r="G3">
        <v>8</v>
      </c>
      <c r="H3">
        <v>2.5</v>
      </c>
      <c r="I3">
        <v>9</v>
      </c>
      <c r="J3">
        <v>36</v>
      </c>
      <c r="K3">
        <v>1.96</v>
      </c>
    </row>
    <row r="4" spans="1:11" ht="12.75">
      <c r="A4" t="s">
        <v>266</v>
      </c>
      <c r="B4" t="s">
        <v>267</v>
      </c>
      <c r="C4">
        <v>1</v>
      </c>
      <c r="E4">
        <v>2</v>
      </c>
      <c r="F4">
        <v>9</v>
      </c>
      <c r="G4">
        <v>11</v>
      </c>
      <c r="H4">
        <v>3.44</v>
      </c>
      <c r="I4">
        <v>1</v>
      </c>
      <c r="J4">
        <v>11</v>
      </c>
      <c r="K4">
        <v>0.6</v>
      </c>
    </row>
    <row r="5" spans="1:11" ht="12.75">
      <c r="A5" t="s">
        <v>148</v>
      </c>
      <c r="B5" t="s">
        <v>268</v>
      </c>
      <c r="C5">
        <v>1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</row>
    <row r="6" spans="1:11" ht="12.75">
      <c r="A6" t="s">
        <v>269</v>
      </c>
      <c r="B6" t="s">
        <v>270</v>
      </c>
      <c r="C6">
        <v>1</v>
      </c>
      <c r="E6">
        <v>3</v>
      </c>
      <c r="F6">
        <v>6</v>
      </c>
      <c r="G6">
        <v>9</v>
      </c>
      <c r="H6">
        <v>2.81</v>
      </c>
      <c r="I6">
        <v>1</v>
      </c>
      <c r="J6">
        <v>9</v>
      </c>
      <c r="K6">
        <v>0.49</v>
      </c>
    </row>
    <row r="7" spans="1:11" ht="12.75">
      <c r="A7" t="s">
        <v>203</v>
      </c>
      <c r="B7" t="s">
        <v>271</v>
      </c>
      <c r="C7">
        <v>3</v>
      </c>
      <c r="E7">
        <v>7</v>
      </c>
      <c r="F7">
        <v>12</v>
      </c>
      <c r="G7">
        <v>19</v>
      </c>
      <c r="H7">
        <v>5.94</v>
      </c>
      <c r="I7">
        <v>11</v>
      </c>
      <c r="J7">
        <v>77</v>
      </c>
      <c r="K7">
        <v>4.19</v>
      </c>
    </row>
    <row r="8" spans="1:11" ht="12" customHeight="1">
      <c r="A8" t="s">
        <v>205</v>
      </c>
      <c r="B8" t="s">
        <v>206</v>
      </c>
      <c r="C8">
        <v>2</v>
      </c>
      <c r="E8">
        <v>4</v>
      </c>
      <c r="F8">
        <v>8</v>
      </c>
      <c r="G8">
        <v>12</v>
      </c>
      <c r="H8">
        <v>3.75</v>
      </c>
      <c r="I8">
        <v>8</v>
      </c>
      <c r="J8">
        <v>53</v>
      </c>
      <c r="K8">
        <v>2.89</v>
      </c>
    </row>
    <row r="9" spans="1:11" ht="12.75">
      <c r="A9" t="s">
        <v>207</v>
      </c>
      <c r="B9" t="s">
        <v>208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  <c r="I9">
        <v>4</v>
      </c>
      <c r="J9">
        <v>20</v>
      </c>
      <c r="K9">
        <v>1.09</v>
      </c>
    </row>
    <row r="10" spans="1:11" ht="12.75">
      <c r="A10" t="s">
        <v>26</v>
      </c>
      <c r="B10" t="s">
        <v>111</v>
      </c>
      <c r="C10">
        <v>1</v>
      </c>
      <c r="E10">
        <v>5</v>
      </c>
      <c r="F10">
        <v>4</v>
      </c>
      <c r="G10">
        <v>9</v>
      </c>
      <c r="H10">
        <v>2.81</v>
      </c>
      <c r="I10">
        <v>13</v>
      </c>
      <c r="J10">
        <v>80</v>
      </c>
      <c r="K10">
        <v>3.7</v>
      </c>
    </row>
    <row r="11" spans="1:11" ht="12.75">
      <c r="A11" s="6" t="s">
        <v>258</v>
      </c>
      <c r="B11" t="s">
        <v>272</v>
      </c>
      <c r="C11">
        <v>1</v>
      </c>
      <c r="E11">
        <v>3</v>
      </c>
      <c r="F11">
        <v>0</v>
      </c>
      <c r="G11">
        <v>3</v>
      </c>
      <c r="H11">
        <v>0.94</v>
      </c>
      <c r="I11">
        <v>2</v>
      </c>
      <c r="J11">
        <v>8</v>
      </c>
      <c r="K11">
        <v>0.44</v>
      </c>
    </row>
    <row r="12" spans="1:11" ht="12.75">
      <c r="A12" t="s">
        <v>273</v>
      </c>
      <c r="B12" t="s">
        <v>155</v>
      </c>
      <c r="C12">
        <v>1</v>
      </c>
      <c r="E12">
        <v>1</v>
      </c>
      <c r="F12">
        <v>3</v>
      </c>
      <c r="G12">
        <v>4</v>
      </c>
      <c r="H12">
        <v>1.25</v>
      </c>
      <c r="I12">
        <v>3</v>
      </c>
      <c r="J12">
        <v>21</v>
      </c>
      <c r="K12">
        <v>1.14</v>
      </c>
    </row>
    <row r="13" spans="1:11" ht="12.75">
      <c r="A13" t="s">
        <v>160</v>
      </c>
      <c r="B13" t="s">
        <v>161</v>
      </c>
      <c r="C13">
        <v>1</v>
      </c>
      <c r="E13">
        <v>3</v>
      </c>
      <c r="F13">
        <v>5</v>
      </c>
      <c r="G13">
        <v>8</v>
      </c>
      <c r="H13">
        <v>2.5</v>
      </c>
      <c r="I13">
        <v>6</v>
      </c>
      <c r="J13">
        <v>38</v>
      </c>
      <c r="K13">
        <v>2.07</v>
      </c>
    </row>
    <row r="14" spans="1:11" ht="11.25" customHeight="1">
      <c r="A14" t="s">
        <v>162</v>
      </c>
      <c r="B14" t="s">
        <v>163</v>
      </c>
      <c r="C14">
        <v>1</v>
      </c>
      <c r="E14">
        <v>5</v>
      </c>
      <c r="F14">
        <v>3</v>
      </c>
      <c r="G14">
        <v>8</v>
      </c>
      <c r="H14">
        <v>2.5</v>
      </c>
      <c r="I14">
        <v>4</v>
      </c>
      <c r="J14">
        <v>23</v>
      </c>
      <c r="K14">
        <v>1.25</v>
      </c>
    </row>
    <row r="15" spans="1:11" ht="12.75">
      <c r="A15" t="s">
        <v>274</v>
      </c>
      <c r="B15" t="s">
        <v>275</v>
      </c>
      <c r="C15">
        <v>5</v>
      </c>
      <c r="D15">
        <v>5</v>
      </c>
      <c r="E15">
        <v>0</v>
      </c>
      <c r="F15">
        <v>0</v>
      </c>
      <c r="G15">
        <v>0</v>
      </c>
      <c r="H15">
        <v>0</v>
      </c>
      <c r="I15">
        <v>5</v>
      </c>
      <c r="J15">
        <v>0</v>
      </c>
      <c r="K15">
        <v>0</v>
      </c>
    </row>
    <row r="16" spans="1:11" ht="12.75">
      <c r="A16" t="s">
        <v>176</v>
      </c>
      <c r="B16" t="s">
        <v>177</v>
      </c>
      <c r="C16">
        <v>1</v>
      </c>
      <c r="E16">
        <v>3</v>
      </c>
      <c r="F16">
        <v>4</v>
      </c>
      <c r="G16">
        <v>7</v>
      </c>
      <c r="H16">
        <v>2.19</v>
      </c>
      <c r="I16">
        <v>14</v>
      </c>
      <c r="J16">
        <v>93</v>
      </c>
      <c r="K16">
        <v>5.07</v>
      </c>
    </row>
    <row r="17" spans="1:11" ht="12.75">
      <c r="A17" t="s">
        <v>276</v>
      </c>
      <c r="B17" t="s">
        <v>277</v>
      </c>
      <c r="C17">
        <v>2</v>
      </c>
      <c r="E17">
        <v>8</v>
      </c>
      <c r="F17">
        <v>7</v>
      </c>
      <c r="G17">
        <v>15</v>
      </c>
      <c r="H17">
        <v>4.69</v>
      </c>
      <c r="I17">
        <v>2</v>
      </c>
      <c r="J17">
        <v>15</v>
      </c>
      <c r="K17">
        <v>0.82</v>
      </c>
    </row>
    <row r="18" spans="1:11" ht="12.75">
      <c r="A18" s="6" t="s">
        <v>245</v>
      </c>
      <c r="B18" s="6" t="s">
        <v>246</v>
      </c>
      <c r="C18" s="6">
        <v>6</v>
      </c>
      <c r="D18" s="2"/>
      <c r="E18" s="6">
        <v>15</v>
      </c>
      <c r="F18" s="6">
        <v>30</v>
      </c>
      <c r="G18" s="6">
        <v>45</v>
      </c>
      <c r="H18" s="6">
        <v>14.06</v>
      </c>
      <c r="I18" s="6">
        <v>8</v>
      </c>
      <c r="J18" s="6">
        <v>59</v>
      </c>
      <c r="K18" s="6">
        <v>3.21</v>
      </c>
    </row>
    <row r="19" spans="1:11" ht="12.75">
      <c r="A19" t="s">
        <v>278</v>
      </c>
      <c r="B19" t="s">
        <v>279</v>
      </c>
      <c r="C19">
        <v>3</v>
      </c>
      <c r="E19">
        <v>7</v>
      </c>
      <c r="F19">
        <v>10</v>
      </c>
      <c r="G19">
        <v>17</v>
      </c>
      <c r="H19">
        <v>5.31</v>
      </c>
      <c r="I19">
        <v>3</v>
      </c>
      <c r="J19">
        <v>17</v>
      </c>
      <c r="K19">
        <v>0.93</v>
      </c>
    </row>
    <row r="20" spans="1:11" ht="12.75">
      <c r="A20" t="s">
        <v>158</v>
      </c>
      <c r="B20" t="s">
        <v>280</v>
      </c>
      <c r="C20">
        <v>1</v>
      </c>
      <c r="E20">
        <v>4</v>
      </c>
      <c r="F20">
        <v>3</v>
      </c>
      <c r="G20">
        <v>7</v>
      </c>
      <c r="H20">
        <v>2.19</v>
      </c>
      <c r="I20">
        <v>6</v>
      </c>
      <c r="J20">
        <v>42</v>
      </c>
      <c r="K20">
        <v>2.29</v>
      </c>
    </row>
    <row r="21" spans="1:11" ht="12.75">
      <c r="A21" t="s">
        <v>133</v>
      </c>
      <c r="B21" t="s">
        <v>134</v>
      </c>
      <c r="C21">
        <v>1</v>
      </c>
      <c r="E21">
        <v>2</v>
      </c>
      <c r="F21">
        <v>3</v>
      </c>
      <c r="G21">
        <v>5</v>
      </c>
      <c r="H21">
        <v>1.56</v>
      </c>
      <c r="I21">
        <v>7</v>
      </c>
      <c r="J21">
        <v>27</v>
      </c>
      <c r="K21">
        <v>1.42</v>
      </c>
    </row>
    <row r="22" spans="1:11" ht="12.75">
      <c r="A22" t="s">
        <v>225</v>
      </c>
      <c r="B22" t="s">
        <v>281</v>
      </c>
      <c r="C22">
        <v>4</v>
      </c>
      <c r="E22">
        <v>14</v>
      </c>
      <c r="F22">
        <v>12</v>
      </c>
      <c r="G22">
        <v>26</v>
      </c>
      <c r="H22">
        <v>8.13</v>
      </c>
      <c r="I22">
        <v>6</v>
      </c>
      <c r="J22">
        <v>32</v>
      </c>
      <c r="K22">
        <v>1.74</v>
      </c>
    </row>
    <row r="23" spans="1:11" ht="12.75">
      <c r="A23" t="s">
        <v>229</v>
      </c>
      <c r="B23" t="s">
        <v>254</v>
      </c>
      <c r="C23">
        <v>1</v>
      </c>
      <c r="E23">
        <v>3</v>
      </c>
      <c r="F23">
        <v>6</v>
      </c>
      <c r="G23">
        <v>9</v>
      </c>
      <c r="H23">
        <v>2.81</v>
      </c>
      <c r="I23">
        <v>3</v>
      </c>
      <c r="J23">
        <v>22</v>
      </c>
      <c r="K23">
        <v>1.2</v>
      </c>
    </row>
    <row r="24" spans="1:11" ht="12.75">
      <c r="A24" t="s">
        <v>247</v>
      </c>
      <c r="B24" t="s">
        <v>248</v>
      </c>
      <c r="C24">
        <v>1</v>
      </c>
      <c r="E24">
        <v>4</v>
      </c>
      <c r="F24">
        <v>2</v>
      </c>
      <c r="G24">
        <v>6</v>
      </c>
      <c r="H24">
        <v>1.88</v>
      </c>
      <c r="I24">
        <v>3</v>
      </c>
      <c r="J24">
        <v>19</v>
      </c>
      <c r="K24">
        <v>1.03</v>
      </c>
    </row>
    <row r="25" spans="1:11" ht="12.75">
      <c r="A25" t="s">
        <v>174</v>
      </c>
      <c r="B25" t="s">
        <v>175</v>
      </c>
      <c r="C25">
        <v>1</v>
      </c>
      <c r="E25">
        <v>5</v>
      </c>
      <c r="F25">
        <v>6</v>
      </c>
      <c r="G25">
        <v>11</v>
      </c>
      <c r="H25">
        <v>3.44</v>
      </c>
      <c r="I25">
        <v>6</v>
      </c>
      <c r="J25">
        <v>54</v>
      </c>
      <c r="K25">
        <v>2.94</v>
      </c>
    </row>
    <row r="26" spans="1:11" ht="12.75">
      <c r="A26" t="s">
        <v>282</v>
      </c>
      <c r="B26" t="s">
        <v>283</v>
      </c>
      <c r="C26">
        <v>2</v>
      </c>
      <c r="E26">
        <v>5</v>
      </c>
      <c r="F26">
        <v>6</v>
      </c>
      <c r="G26">
        <v>11</v>
      </c>
      <c r="H26">
        <v>3.44</v>
      </c>
      <c r="I26">
        <v>2</v>
      </c>
      <c r="J26">
        <v>11</v>
      </c>
      <c r="K26">
        <v>0.6</v>
      </c>
    </row>
    <row r="27" spans="1:11" ht="12.75">
      <c r="A27" t="s">
        <v>284</v>
      </c>
      <c r="B27" t="s">
        <v>285</v>
      </c>
      <c r="C27">
        <v>1</v>
      </c>
      <c r="E27">
        <v>4</v>
      </c>
      <c r="F27">
        <v>5</v>
      </c>
      <c r="G27">
        <v>9</v>
      </c>
      <c r="H27">
        <v>2.81</v>
      </c>
      <c r="I27">
        <v>1</v>
      </c>
      <c r="J27">
        <v>9</v>
      </c>
      <c r="K27">
        <v>0.49</v>
      </c>
    </row>
    <row r="28" spans="1:11" ht="12.75" customHeight="1">
      <c r="A28" t="s">
        <v>286</v>
      </c>
      <c r="B28" t="s">
        <v>287</v>
      </c>
      <c r="C28">
        <v>1</v>
      </c>
      <c r="E28">
        <v>0</v>
      </c>
      <c r="F28">
        <v>3</v>
      </c>
      <c r="G28">
        <v>3</v>
      </c>
      <c r="H28">
        <v>0.94</v>
      </c>
      <c r="I28">
        <v>1</v>
      </c>
      <c r="J28">
        <v>3</v>
      </c>
      <c r="K28">
        <v>0.16</v>
      </c>
    </row>
    <row r="29" spans="1:11" ht="12.75">
      <c r="A29" t="s">
        <v>198</v>
      </c>
      <c r="B29" t="s">
        <v>199</v>
      </c>
      <c r="C29">
        <v>3</v>
      </c>
      <c r="D29">
        <v>1</v>
      </c>
      <c r="E29">
        <v>6</v>
      </c>
      <c r="F29">
        <v>8</v>
      </c>
      <c r="G29">
        <v>14</v>
      </c>
      <c r="H29">
        <v>4.38</v>
      </c>
      <c r="I29">
        <v>8</v>
      </c>
      <c r="J29">
        <v>41</v>
      </c>
      <c r="K29">
        <v>2.23</v>
      </c>
    </row>
    <row r="30" spans="1:11" ht="12.75">
      <c r="A30" t="s">
        <v>288</v>
      </c>
      <c r="B30" t="s">
        <v>289</v>
      </c>
      <c r="C30">
        <v>1</v>
      </c>
      <c r="E30">
        <v>2</v>
      </c>
      <c r="F30">
        <v>6</v>
      </c>
      <c r="G30">
        <v>8</v>
      </c>
      <c r="H30">
        <v>2.5</v>
      </c>
      <c r="I30">
        <v>1</v>
      </c>
      <c r="J30">
        <v>8</v>
      </c>
      <c r="K30">
        <v>0.44</v>
      </c>
    </row>
    <row r="31" spans="1:11" ht="12.75" customHeight="1">
      <c r="A31" t="s">
        <v>290</v>
      </c>
      <c r="B31" t="s">
        <v>166</v>
      </c>
      <c r="C31">
        <v>1</v>
      </c>
      <c r="E31">
        <v>6</v>
      </c>
      <c r="F31">
        <v>1</v>
      </c>
      <c r="G31">
        <v>7</v>
      </c>
      <c r="H31">
        <v>2.19</v>
      </c>
      <c r="I31">
        <v>4</v>
      </c>
      <c r="J31">
        <v>7</v>
      </c>
      <c r="K31">
        <v>0.38</v>
      </c>
    </row>
    <row r="32" spans="1:11" ht="12.75">
      <c r="A32" t="s">
        <v>209</v>
      </c>
      <c r="B32" t="s">
        <v>210</v>
      </c>
      <c r="C32">
        <v>1</v>
      </c>
      <c r="E32">
        <v>3</v>
      </c>
      <c r="F32">
        <v>4</v>
      </c>
      <c r="G32">
        <v>7</v>
      </c>
      <c r="H32">
        <v>2.19</v>
      </c>
      <c r="I32">
        <v>3</v>
      </c>
      <c r="J32">
        <v>15</v>
      </c>
      <c r="K32">
        <v>0.82</v>
      </c>
    </row>
    <row r="33" spans="1:11" ht="12.75">
      <c r="A33" t="s">
        <v>106</v>
      </c>
      <c r="B33" t="s">
        <v>291</v>
      </c>
      <c r="C33">
        <v>2</v>
      </c>
      <c r="E33">
        <v>9</v>
      </c>
      <c r="F33">
        <v>5</v>
      </c>
      <c r="G33">
        <v>14</v>
      </c>
      <c r="H33">
        <v>4.38</v>
      </c>
      <c r="I33">
        <v>12</v>
      </c>
      <c r="J33">
        <v>87</v>
      </c>
      <c r="K33">
        <v>4.74</v>
      </c>
    </row>
    <row r="34" spans="1:11" ht="12.75">
      <c r="A34" t="s">
        <v>292</v>
      </c>
      <c r="B34" t="s">
        <v>218</v>
      </c>
      <c r="C34">
        <v>1</v>
      </c>
      <c r="E34">
        <v>6</v>
      </c>
      <c r="F34">
        <v>2</v>
      </c>
      <c r="G34">
        <v>8</v>
      </c>
      <c r="H34">
        <v>2.5</v>
      </c>
      <c r="I34">
        <v>2</v>
      </c>
      <c r="J34">
        <v>17</v>
      </c>
      <c r="K34">
        <v>0.93</v>
      </c>
    </row>
    <row r="35" spans="1:7" ht="12.75">
      <c r="A35" s="2" t="s">
        <v>8</v>
      </c>
      <c r="C35" s="2">
        <f>SUM(C3:C34)</f>
        <v>54</v>
      </c>
      <c r="D35" s="2">
        <v>6</v>
      </c>
      <c r="E35" s="2">
        <f>SUM(E3:E34)</f>
        <v>144</v>
      </c>
      <c r="F35" s="2">
        <f>SUM(F3:F34)</f>
        <v>176</v>
      </c>
      <c r="G35" s="2">
        <f>SUM(G3:G34)</f>
        <v>320</v>
      </c>
    </row>
    <row r="36" spans="1:2" ht="12.75">
      <c r="A36" s="2" t="s">
        <v>51</v>
      </c>
      <c r="B36" s="2">
        <v>72.6</v>
      </c>
    </row>
    <row r="39" spans="1:2" ht="12.75">
      <c r="A39" t="s">
        <v>141</v>
      </c>
      <c r="B39">
        <v>29</v>
      </c>
    </row>
    <row r="40" spans="1:3" ht="12.75">
      <c r="A40" t="s">
        <v>169</v>
      </c>
      <c r="B40">
        <v>48</v>
      </c>
      <c r="C40">
        <v>50</v>
      </c>
    </row>
    <row r="41" spans="2:3" ht="12.75">
      <c r="B41" s="9">
        <f>4*B39*B40/(B39+B40)</f>
        <v>72.31168831168831</v>
      </c>
      <c r="C41" s="9">
        <f>4*(B39*B40)/(B39+B40)</f>
        <v>72.31168831168831</v>
      </c>
    </row>
    <row r="43" ht="12.75">
      <c r="B43" s="9">
        <f>B41/48*50</f>
        <v>75.32467532467533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zoomScalePageLayoutView="0" workbookViewId="0" topLeftCell="A1">
      <selection activeCell="B37" sqref="B37"/>
    </sheetView>
  </sheetViews>
  <sheetFormatPr defaultColWidth="9.140625" defaultRowHeight="12.75"/>
  <cols>
    <col min="1" max="1" width="28.28125" style="0" customWidth="1"/>
    <col min="2" max="2" width="8.57421875" style="1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8" width="7.421875" style="0" customWidth="1"/>
    <col min="9" max="9" width="10.57421875" style="0" customWidth="1"/>
    <col min="10" max="10" width="11.8515625" style="10" customWidth="1"/>
    <col min="11" max="11" width="11.7109375" style="14" customWidth="1"/>
  </cols>
  <sheetData>
    <row r="1" ht="15">
      <c r="A1" s="1" t="s">
        <v>0</v>
      </c>
    </row>
    <row r="2" spans="1:11" ht="15.75" customHeight="1">
      <c r="A2" s="3" t="s">
        <v>293</v>
      </c>
      <c r="B2" s="15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5" t="s">
        <v>294</v>
      </c>
      <c r="J2" s="16" t="s">
        <v>295</v>
      </c>
      <c r="K2" s="17" t="s">
        <v>12</v>
      </c>
    </row>
    <row r="3" spans="1:12" s="6" customFormat="1" ht="12.75">
      <c r="A3" t="s">
        <v>178</v>
      </c>
      <c r="B3" s="10" t="s">
        <v>179</v>
      </c>
      <c r="C3">
        <v>2</v>
      </c>
      <c r="D3"/>
      <c r="E3">
        <v>6</v>
      </c>
      <c r="F3">
        <v>6</v>
      </c>
      <c r="G3" s="9">
        <f aca="true" t="shared" si="0" ref="G3:G12">SUM(E3:F3)</f>
        <v>12</v>
      </c>
      <c r="H3" s="18">
        <f aca="true" t="shared" si="1" ref="H3:H12">($G3/$G$36)*100</f>
        <v>4.580152671755725</v>
      </c>
      <c r="I3">
        <v>11</v>
      </c>
      <c r="J3" s="10">
        <v>48</v>
      </c>
      <c r="K3" s="18">
        <f>($J3/$L$36)*100</f>
        <v>2.881152460984394</v>
      </c>
      <c r="L3"/>
    </row>
    <row r="4" spans="1:12" ht="12.75">
      <c r="A4" s="6" t="s">
        <v>203</v>
      </c>
      <c r="B4" s="19" t="s">
        <v>204</v>
      </c>
      <c r="C4" s="6">
        <v>3</v>
      </c>
      <c r="D4" s="6"/>
      <c r="E4" s="6">
        <v>13</v>
      </c>
      <c r="F4" s="6">
        <v>12</v>
      </c>
      <c r="G4" s="6">
        <f t="shared" si="0"/>
        <v>25</v>
      </c>
      <c r="H4" s="18">
        <f t="shared" si="1"/>
        <v>9.541984732824428</v>
      </c>
      <c r="I4" s="6">
        <v>14</v>
      </c>
      <c r="J4" s="19">
        <v>84</v>
      </c>
      <c r="K4" s="18">
        <f>($J4/$L$36)*100</f>
        <v>5.042016806722689</v>
      </c>
      <c r="L4" s="6"/>
    </row>
    <row r="5" spans="1:11" ht="12.75">
      <c r="A5" t="s">
        <v>205</v>
      </c>
      <c r="B5" s="10" t="s">
        <v>206</v>
      </c>
      <c r="C5">
        <v>1</v>
      </c>
      <c r="E5">
        <v>2</v>
      </c>
      <c r="F5">
        <v>5</v>
      </c>
      <c r="G5" s="9">
        <f t="shared" si="0"/>
        <v>7</v>
      </c>
      <c r="H5" s="18">
        <f t="shared" si="1"/>
        <v>2.6717557251908395</v>
      </c>
      <c r="I5">
        <v>9</v>
      </c>
      <c r="J5" s="10">
        <v>60</v>
      </c>
      <c r="K5" s="18">
        <f>($J5/$L$36)*100</f>
        <v>3.601440576230492</v>
      </c>
    </row>
    <row r="6" spans="1:11" ht="12.75">
      <c r="A6" t="s">
        <v>207</v>
      </c>
      <c r="B6" s="10" t="s">
        <v>208</v>
      </c>
      <c r="C6">
        <v>4</v>
      </c>
      <c r="D6">
        <v>2</v>
      </c>
      <c r="E6">
        <v>6</v>
      </c>
      <c r="F6">
        <v>9</v>
      </c>
      <c r="G6" s="9">
        <f t="shared" si="0"/>
        <v>15</v>
      </c>
      <c r="H6" s="18">
        <f t="shared" si="1"/>
        <v>5.7251908396946565</v>
      </c>
      <c r="I6">
        <v>8</v>
      </c>
      <c r="J6" s="10">
        <v>35</v>
      </c>
      <c r="K6" s="18">
        <f>($J6/$L$36)*100</f>
        <v>2.100840336134454</v>
      </c>
    </row>
    <row r="7" spans="1:11" ht="12.75">
      <c r="A7" s="6" t="s">
        <v>258</v>
      </c>
      <c r="B7" s="10" t="s">
        <v>272</v>
      </c>
      <c r="C7">
        <v>1</v>
      </c>
      <c r="E7">
        <v>3</v>
      </c>
      <c r="F7">
        <v>2</v>
      </c>
      <c r="G7" s="9">
        <f t="shared" si="0"/>
        <v>5</v>
      </c>
      <c r="H7" s="18">
        <f t="shared" si="1"/>
        <v>1.9083969465648856</v>
      </c>
      <c r="I7">
        <v>7</v>
      </c>
      <c r="J7" s="10">
        <v>13</v>
      </c>
      <c r="K7" s="18">
        <f>($J7/$L$36)*100</f>
        <v>0.78031212484994</v>
      </c>
    </row>
    <row r="8" spans="1:11" ht="12.75">
      <c r="A8" t="s">
        <v>273</v>
      </c>
      <c r="B8" s="10" t="s">
        <v>155</v>
      </c>
      <c r="C8">
        <v>2</v>
      </c>
      <c r="E8">
        <v>6</v>
      </c>
      <c r="F8">
        <v>13</v>
      </c>
      <c r="G8" s="9">
        <f t="shared" si="0"/>
        <v>19</v>
      </c>
      <c r="H8" s="18">
        <f t="shared" si="1"/>
        <v>7.251908396946565</v>
      </c>
      <c r="I8">
        <v>5</v>
      </c>
      <c r="J8" s="10">
        <v>40</v>
      </c>
      <c r="K8" s="18">
        <v>1.86</v>
      </c>
    </row>
    <row r="9" spans="1:11" ht="12.75">
      <c r="A9" t="s">
        <v>296</v>
      </c>
      <c r="B9" s="10" t="s">
        <v>297</v>
      </c>
      <c r="C9">
        <v>1</v>
      </c>
      <c r="E9">
        <v>3</v>
      </c>
      <c r="F9">
        <v>5</v>
      </c>
      <c r="G9" s="9">
        <f t="shared" si="0"/>
        <v>8</v>
      </c>
      <c r="H9" s="18">
        <f t="shared" si="1"/>
        <v>3.0534351145038165</v>
      </c>
      <c r="I9">
        <v>1</v>
      </c>
      <c r="J9" s="10">
        <v>8</v>
      </c>
      <c r="K9" s="18">
        <f>($J9/$L$36)*100</f>
        <v>0.4801920768307323</v>
      </c>
    </row>
    <row r="10" spans="1:11" ht="12.75">
      <c r="A10" s="6" t="s">
        <v>213</v>
      </c>
      <c r="B10" s="10" t="s">
        <v>256</v>
      </c>
      <c r="C10">
        <v>1</v>
      </c>
      <c r="E10">
        <v>5</v>
      </c>
      <c r="F10">
        <v>1</v>
      </c>
      <c r="G10" s="9">
        <f t="shared" si="0"/>
        <v>6</v>
      </c>
      <c r="H10" s="18">
        <f t="shared" si="1"/>
        <v>2.2900763358778624</v>
      </c>
      <c r="I10">
        <v>3</v>
      </c>
      <c r="J10" s="10">
        <v>22</v>
      </c>
      <c r="K10" s="18">
        <f>($J10/$L$36)*100</f>
        <v>1.3205282112845138</v>
      </c>
    </row>
    <row r="11" spans="1:11" ht="12.75">
      <c r="A11" t="s">
        <v>162</v>
      </c>
      <c r="B11" s="10" t="s">
        <v>163</v>
      </c>
      <c r="C11">
        <v>1</v>
      </c>
      <c r="E11">
        <v>3</v>
      </c>
      <c r="F11">
        <v>5</v>
      </c>
      <c r="G11" s="9">
        <f t="shared" si="0"/>
        <v>8</v>
      </c>
      <c r="H11" s="18">
        <f t="shared" si="1"/>
        <v>3.0534351145038165</v>
      </c>
      <c r="I11">
        <v>5</v>
      </c>
      <c r="J11" s="10">
        <v>31</v>
      </c>
      <c r="K11" s="18">
        <v>1.68</v>
      </c>
    </row>
    <row r="12" spans="1:11" ht="12.75">
      <c r="A12" t="s">
        <v>298</v>
      </c>
      <c r="B12" s="10" t="s">
        <v>299</v>
      </c>
      <c r="C12">
        <v>1</v>
      </c>
      <c r="E12">
        <v>5</v>
      </c>
      <c r="F12">
        <v>5</v>
      </c>
      <c r="G12" s="9">
        <f t="shared" si="0"/>
        <v>10</v>
      </c>
      <c r="H12" s="18">
        <f t="shared" si="1"/>
        <v>3.816793893129771</v>
      </c>
      <c r="I12">
        <v>1</v>
      </c>
      <c r="J12" s="10">
        <v>10</v>
      </c>
      <c r="K12" s="18">
        <f>($J12/$L$36)*100</f>
        <v>0.6002400960384154</v>
      </c>
    </row>
    <row r="13" spans="1:11" ht="12.75">
      <c r="A13" s="6" t="s">
        <v>300</v>
      </c>
      <c r="B13" s="10" t="s">
        <v>301</v>
      </c>
      <c r="C13">
        <v>1</v>
      </c>
      <c r="D13">
        <v>1</v>
      </c>
      <c r="I13">
        <v>1</v>
      </c>
      <c r="J13" s="10">
        <v>0</v>
      </c>
      <c r="K13" s="18">
        <f>($J13/$L$36)*100</f>
        <v>0</v>
      </c>
    </row>
    <row r="14" spans="1:11" ht="12.75">
      <c r="A14" s="6" t="s">
        <v>53</v>
      </c>
      <c r="B14" s="10" t="s">
        <v>54</v>
      </c>
      <c r="C14">
        <v>1</v>
      </c>
      <c r="D14">
        <v>1</v>
      </c>
      <c r="I14">
        <v>37</v>
      </c>
      <c r="J14" s="10">
        <v>291</v>
      </c>
      <c r="K14" s="18">
        <v>5.04</v>
      </c>
    </row>
    <row r="15" spans="1:11" ht="12.75">
      <c r="A15" t="s">
        <v>302</v>
      </c>
      <c r="B15" s="10" t="s">
        <v>303</v>
      </c>
      <c r="C15">
        <v>1</v>
      </c>
      <c r="E15">
        <v>4</v>
      </c>
      <c r="F15">
        <v>3</v>
      </c>
      <c r="G15" s="9">
        <f>SUM(E15:F15)</f>
        <v>7</v>
      </c>
      <c r="H15" s="18">
        <f>($G15/$G$36)*100</f>
        <v>2.6717557251908395</v>
      </c>
      <c r="I15">
        <v>1</v>
      </c>
      <c r="J15" s="10">
        <v>7</v>
      </c>
      <c r="K15" s="18">
        <f aca="true" t="shared" si="2" ref="K15:K20">($J15/$L$36)*100</f>
        <v>0.42016806722689076</v>
      </c>
    </row>
    <row r="16" spans="1:11" ht="12.75">
      <c r="A16" t="s">
        <v>276</v>
      </c>
      <c r="B16" s="10" t="s">
        <v>246</v>
      </c>
      <c r="C16">
        <v>1</v>
      </c>
      <c r="E16">
        <v>5</v>
      </c>
      <c r="F16">
        <v>4</v>
      </c>
      <c r="G16" s="9">
        <f>SUM(E16:F16)</f>
        <v>9</v>
      </c>
      <c r="H16" s="18">
        <f>($G16/$G$36)*100</f>
        <v>3.435114503816794</v>
      </c>
      <c r="I16">
        <v>3</v>
      </c>
      <c r="J16" s="10">
        <v>24</v>
      </c>
      <c r="K16" s="18">
        <f t="shared" si="2"/>
        <v>1.440576230492197</v>
      </c>
    </row>
    <row r="17" spans="1:11" ht="12.75">
      <c r="A17" t="s">
        <v>245</v>
      </c>
      <c r="B17" s="10" t="s">
        <v>246</v>
      </c>
      <c r="C17">
        <v>2</v>
      </c>
      <c r="D17">
        <v>1</v>
      </c>
      <c r="E17">
        <v>4</v>
      </c>
      <c r="F17">
        <v>5</v>
      </c>
      <c r="G17" s="9">
        <f>SUM(E17:F17)</f>
        <v>9</v>
      </c>
      <c r="H17" s="18">
        <f>($G17/$G$36)*100</f>
        <v>3.435114503816794</v>
      </c>
      <c r="I17">
        <v>10</v>
      </c>
      <c r="J17" s="10">
        <v>68</v>
      </c>
      <c r="K17" s="18">
        <f t="shared" si="2"/>
        <v>4.081632653061225</v>
      </c>
    </row>
    <row r="18" spans="1:11" ht="12.75">
      <c r="A18" t="s">
        <v>304</v>
      </c>
      <c r="B18" s="10" t="s">
        <v>305</v>
      </c>
      <c r="C18">
        <v>1</v>
      </c>
      <c r="E18">
        <v>5</v>
      </c>
      <c r="F18">
        <v>3</v>
      </c>
      <c r="G18" s="9">
        <f>SUM(E18:F18)</f>
        <v>8</v>
      </c>
      <c r="H18" s="18">
        <f>($G18/$G$36)*100</f>
        <v>3.0534351145038165</v>
      </c>
      <c r="I18">
        <v>3</v>
      </c>
      <c r="J18" s="10">
        <v>24</v>
      </c>
      <c r="K18" s="18">
        <f t="shared" si="2"/>
        <v>1.440576230492197</v>
      </c>
    </row>
    <row r="19" spans="1:11" ht="12.75">
      <c r="A19" t="s">
        <v>306</v>
      </c>
      <c r="B19" s="10" t="s">
        <v>307</v>
      </c>
      <c r="C19">
        <v>1</v>
      </c>
      <c r="E19">
        <v>3</v>
      </c>
      <c r="F19">
        <v>5</v>
      </c>
      <c r="G19" s="9">
        <f>SUM(E19:F19)</f>
        <v>8</v>
      </c>
      <c r="H19" s="18">
        <f>($G19/$G$36)*100</f>
        <v>3.0534351145038165</v>
      </c>
      <c r="I19">
        <v>1</v>
      </c>
      <c r="J19" s="10">
        <v>8</v>
      </c>
      <c r="K19" s="18">
        <f t="shared" si="2"/>
        <v>0.4801920768307323</v>
      </c>
    </row>
    <row r="20" spans="1:11" ht="12.75">
      <c r="A20" s="6" t="s">
        <v>308</v>
      </c>
      <c r="B20" s="10" t="s">
        <v>253</v>
      </c>
      <c r="C20">
        <v>1</v>
      </c>
      <c r="D20">
        <v>1</v>
      </c>
      <c r="I20">
        <v>2</v>
      </c>
      <c r="J20" s="10">
        <v>9</v>
      </c>
      <c r="K20" s="18">
        <f t="shared" si="2"/>
        <v>0.5402160864345739</v>
      </c>
    </row>
    <row r="21" spans="1:11" ht="12.75">
      <c r="A21" s="6" t="s">
        <v>133</v>
      </c>
      <c r="B21" s="10" t="s">
        <v>134</v>
      </c>
      <c r="C21">
        <v>1</v>
      </c>
      <c r="E21">
        <v>3</v>
      </c>
      <c r="F21">
        <v>3</v>
      </c>
      <c r="G21" s="9">
        <f>SUM(E21:F21)</f>
        <v>6</v>
      </c>
      <c r="H21" s="18">
        <f>($G21/$G$36)*100</f>
        <v>2.2900763358778624</v>
      </c>
      <c r="I21">
        <v>8</v>
      </c>
      <c r="J21" s="10">
        <v>33</v>
      </c>
      <c r="K21" s="18">
        <v>0.66</v>
      </c>
    </row>
    <row r="22" spans="1:11" ht="12.75">
      <c r="A22" s="6" t="s">
        <v>225</v>
      </c>
      <c r="B22" s="10" t="s">
        <v>226</v>
      </c>
      <c r="C22">
        <v>1</v>
      </c>
      <c r="F22">
        <v>2</v>
      </c>
      <c r="G22" s="9">
        <f>SUM(E22:F22)</f>
        <v>2</v>
      </c>
      <c r="H22" s="18">
        <f>($G22/$G$36)*100</f>
        <v>0.7633587786259541</v>
      </c>
      <c r="I22">
        <v>3</v>
      </c>
      <c r="J22" s="10">
        <v>34</v>
      </c>
      <c r="K22" s="18">
        <f>($J22/$L$36)*100</f>
        <v>2.0408163265306123</v>
      </c>
    </row>
    <row r="23" spans="1:11" ht="12.75">
      <c r="A23" t="s">
        <v>260</v>
      </c>
      <c r="B23" s="10" t="s">
        <v>261</v>
      </c>
      <c r="C23">
        <v>1</v>
      </c>
      <c r="E23">
        <v>3</v>
      </c>
      <c r="F23">
        <v>5</v>
      </c>
      <c r="G23" s="9">
        <f>SUM(E23:F23)</f>
        <v>8</v>
      </c>
      <c r="H23" s="18">
        <f>($G23/$G$36)*100</f>
        <v>3.0534351145038165</v>
      </c>
      <c r="I23">
        <v>2</v>
      </c>
      <c r="J23" s="10">
        <v>11</v>
      </c>
      <c r="K23" s="18">
        <f>($J23/$L$36)*100</f>
        <v>0.6602641056422569</v>
      </c>
    </row>
    <row r="24" spans="1:11" ht="12.75">
      <c r="A24" t="s">
        <v>247</v>
      </c>
      <c r="B24" s="10" t="s">
        <v>309</v>
      </c>
      <c r="C24">
        <v>1</v>
      </c>
      <c r="E24">
        <v>7</v>
      </c>
      <c r="F24">
        <v>2</v>
      </c>
      <c r="G24" s="9">
        <f>SUM(E24:F24)</f>
        <v>9</v>
      </c>
      <c r="H24" s="18">
        <f>($G24/$G$36)*100</f>
        <v>3.435114503816794</v>
      </c>
      <c r="I24">
        <v>4</v>
      </c>
      <c r="J24" s="10">
        <v>28</v>
      </c>
      <c r="K24" s="18">
        <f>($J24/$L$36)*100</f>
        <v>1.680672268907563</v>
      </c>
    </row>
    <row r="25" spans="1:11" ht="12.75">
      <c r="A25" t="s">
        <v>310</v>
      </c>
      <c r="B25" s="10" t="s">
        <v>311</v>
      </c>
      <c r="C25">
        <v>1</v>
      </c>
      <c r="E25">
        <v>3</v>
      </c>
      <c r="F25">
        <v>5</v>
      </c>
      <c r="G25" s="9">
        <f>SUM(E25:F25)</f>
        <v>8</v>
      </c>
      <c r="H25" s="18">
        <f>($G25/$G$36)*100</f>
        <v>3.0534351145038165</v>
      </c>
      <c r="I25">
        <v>1</v>
      </c>
      <c r="J25" s="10">
        <v>8</v>
      </c>
      <c r="K25" s="18">
        <f>($J25/$L$36)*100</f>
        <v>0.4801920768307323</v>
      </c>
    </row>
    <row r="26" spans="1:11" ht="12.75">
      <c r="A26" s="6" t="s">
        <v>312</v>
      </c>
      <c r="B26" s="10" t="s">
        <v>313</v>
      </c>
      <c r="C26">
        <v>1</v>
      </c>
      <c r="D26">
        <v>1</v>
      </c>
      <c r="I26">
        <v>1</v>
      </c>
      <c r="J26" s="10">
        <v>0</v>
      </c>
      <c r="K26" s="18">
        <f>($J26/$L$36)*100</f>
        <v>0</v>
      </c>
    </row>
    <row r="27" spans="1:11" ht="12.75">
      <c r="A27" t="s">
        <v>150</v>
      </c>
      <c r="B27" s="10" t="s">
        <v>151</v>
      </c>
      <c r="C27">
        <v>1</v>
      </c>
      <c r="E27">
        <v>3</v>
      </c>
      <c r="F27">
        <v>7</v>
      </c>
      <c r="G27" s="9">
        <f aca="true" t="shared" si="3" ref="G27:G36">SUM(E27:F27)</f>
        <v>10</v>
      </c>
      <c r="H27" s="18">
        <f aca="true" t="shared" si="4" ref="H27:H35">($G27/$G$36)*100</f>
        <v>3.816793893129771</v>
      </c>
      <c r="I27">
        <v>10</v>
      </c>
      <c r="J27" s="10">
        <v>57</v>
      </c>
      <c r="K27" s="18">
        <v>2.46</v>
      </c>
    </row>
    <row r="28" spans="1:11" ht="12.75">
      <c r="A28" s="6" t="s">
        <v>286</v>
      </c>
      <c r="B28" s="10" t="s">
        <v>287</v>
      </c>
      <c r="C28">
        <v>1</v>
      </c>
      <c r="E28">
        <v>3</v>
      </c>
      <c r="F28">
        <v>2</v>
      </c>
      <c r="G28" s="9">
        <f t="shared" si="3"/>
        <v>5</v>
      </c>
      <c r="H28" s="18">
        <f t="shared" si="4"/>
        <v>1.9083969465648856</v>
      </c>
      <c r="I28">
        <v>1</v>
      </c>
      <c r="J28" s="10">
        <v>8</v>
      </c>
      <c r="K28" s="18">
        <f aca="true" t="shared" si="5" ref="K28:K35">($J28/$L$36)*100</f>
        <v>0.4801920768307323</v>
      </c>
    </row>
    <row r="29" spans="1:11" ht="12.75">
      <c r="A29" t="s">
        <v>219</v>
      </c>
      <c r="B29" s="10" t="s">
        <v>220</v>
      </c>
      <c r="C29">
        <v>2</v>
      </c>
      <c r="E29">
        <v>7</v>
      </c>
      <c r="F29">
        <v>7</v>
      </c>
      <c r="G29" s="9">
        <f t="shared" si="3"/>
        <v>14</v>
      </c>
      <c r="H29" s="18">
        <f t="shared" si="4"/>
        <v>5.343511450381679</v>
      </c>
      <c r="I29">
        <v>4</v>
      </c>
      <c r="J29" s="10">
        <v>30</v>
      </c>
      <c r="K29" s="18">
        <f t="shared" si="5"/>
        <v>1.800720288115246</v>
      </c>
    </row>
    <row r="30" spans="1:11" ht="12.75">
      <c r="A30" s="6" t="s">
        <v>198</v>
      </c>
      <c r="B30" s="10" t="s">
        <v>199</v>
      </c>
      <c r="C30">
        <v>1</v>
      </c>
      <c r="E30">
        <v>1</v>
      </c>
      <c r="F30">
        <v>2</v>
      </c>
      <c r="G30" s="9">
        <f t="shared" si="3"/>
        <v>3</v>
      </c>
      <c r="H30" s="18">
        <f t="shared" si="4"/>
        <v>1.1450381679389312</v>
      </c>
      <c r="I30">
        <v>2</v>
      </c>
      <c r="J30" s="10">
        <v>44</v>
      </c>
      <c r="K30" s="18">
        <f t="shared" si="5"/>
        <v>2.6410564225690276</v>
      </c>
    </row>
    <row r="31" spans="1:11" ht="12.75">
      <c r="A31" t="s">
        <v>288</v>
      </c>
      <c r="B31" s="10" t="s">
        <v>289</v>
      </c>
      <c r="C31">
        <v>1</v>
      </c>
      <c r="E31">
        <v>5</v>
      </c>
      <c r="F31">
        <v>4</v>
      </c>
      <c r="G31" s="9">
        <f t="shared" si="3"/>
        <v>9</v>
      </c>
      <c r="H31" s="18">
        <f t="shared" si="4"/>
        <v>3.435114503816794</v>
      </c>
      <c r="I31">
        <v>2</v>
      </c>
      <c r="J31" s="10">
        <v>17</v>
      </c>
      <c r="K31" s="18">
        <f t="shared" si="5"/>
        <v>1.0204081632653061</v>
      </c>
    </row>
    <row r="32" spans="1:11" ht="12.75">
      <c r="A32" t="s">
        <v>314</v>
      </c>
      <c r="B32" s="10" t="s">
        <v>315</v>
      </c>
      <c r="C32">
        <v>1</v>
      </c>
      <c r="E32">
        <v>2</v>
      </c>
      <c r="F32">
        <v>6</v>
      </c>
      <c r="G32" s="9">
        <f t="shared" si="3"/>
        <v>8</v>
      </c>
      <c r="H32" s="18">
        <f t="shared" si="4"/>
        <v>3.0534351145038165</v>
      </c>
      <c r="I32">
        <v>1</v>
      </c>
      <c r="J32" s="10">
        <v>8</v>
      </c>
      <c r="K32" s="18">
        <f t="shared" si="5"/>
        <v>0.4801920768307323</v>
      </c>
    </row>
    <row r="33" spans="1:11" ht="12.75">
      <c r="A33" s="6" t="s">
        <v>316</v>
      </c>
      <c r="B33" s="10" t="s">
        <v>317</v>
      </c>
      <c r="C33">
        <v>1</v>
      </c>
      <c r="E33">
        <v>2</v>
      </c>
      <c r="F33">
        <v>4</v>
      </c>
      <c r="G33" s="9">
        <f t="shared" si="3"/>
        <v>6</v>
      </c>
      <c r="H33" s="18">
        <f t="shared" si="4"/>
        <v>2.2900763358778624</v>
      </c>
      <c r="I33">
        <v>2</v>
      </c>
      <c r="J33" s="10">
        <v>6</v>
      </c>
      <c r="K33" s="18">
        <f t="shared" si="5"/>
        <v>0.36014405762304924</v>
      </c>
    </row>
    <row r="34" spans="1:11" ht="12.75">
      <c r="A34" t="s">
        <v>318</v>
      </c>
      <c r="B34" s="10" t="s">
        <v>218</v>
      </c>
      <c r="C34">
        <v>1</v>
      </c>
      <c r="E34">
        <v>4</v>
      </c>
      <c r="F34">
        <v>4</v>
      </c>
      <c r="G34" s="9">
        <f t="shared" si="3"/>
        <v>8</v>
      </c>
      <c r="H34" s="18">
        <f t="shared" si="4"/>
        <v>3.0534351145038165</v>
      </c>
      <c r="I34">
        <v>3</v>
      </c>
      <c r="J34" s="10">
        <v>25</v>
      </c>
      <c r="K34" s="18">
        <f t="shared" si="5"/>
        <v>1.5006002400960383</v>
      </c>
    </row>
    <row r="35" spans="1:11" ht="12.75">
      <c r="A35" t="s">
        <v>319</v>
      </c>
      <c r="B35" s="10" t="s">
        <v>243</v>
      </c>
      <c r="C35">
        <v>2</v>
      </c>
      <c r="D35">
        <v>1</v>
      </c>
      <c r="E35">
        <v>6</v>
      </c>
      <c r="F35">
        <v>4</v>
      </c>
      <c r="G35" s="9">
        <f t="shared" si="3"/>
        <v>10</v>
      </c>
      <c r="H35" s="18">
        <f t="shared" si="4"/>
        <v>3.816793893129771</v>
      </c>
      <c r="I35">
        <v>4</v>
      </c>
      <c r="J35" s="10">
        <v>25</v>
      </c>
      <c r="K35" s="18">
        <f t="shared" si="5"/>
        <v>1.5006002400960383</v>
      </c>
    </row>
    <row r="36" spans="1:12" s="2" customFormat="1" ht="12.75">
      <c r="A36" s="2" t="s">
        <v>8</v>
      </c>
      <c r="B36" s="16"/>
      <c r="C36" s="2">
        <f>SUM(C3:C35)</f>
        <v>43</v>
      </c>
      <c r="D36" s="2">
        <f>SUM(D3:D35)</f>
        <v>8</v>
      </c>
      <c r="E36" s="2">
        <f>SUM(E3:E35)</f>
        <v>122</v>
      </c>
      <c r="F36" s="2">
        <f>SUM(F3:F35)</f>
        <v>140</v>
      </c>
      <c r="G36" s="2">
        <f t="shared" si="3"/>
        <v>262</v>
      </c>
      <c r="J36" s="16"/>
      <c r="K36" s="18" t="s">
        <v>320</v>
      </c>
      <c r="L36" s="6">
        <v>1666</v>
      </c>
    </row>
    <row r="37" spans="1:11" s="2" customFormat="1" ht="12.75">
      <c r="A37" s="2" t="s">
        <v>51</v>
      </c>
      <c r="B37" s="16">
        <f>(4*33*35)/68</f>
        <v>67.94117647058823</v>
      </c>
      <c r="J37" s="16"/>
      <c r="K37" s="17"/>
    </row>
    <row r="39" ht="12.75">
      <c r="B39" s="10">
        <f>(B37/35)*50</f>
        <v>97.05882352941177</v>
      </c>
    </row>
    <row r="41" spans="1:2" ht="12.75">
      <c r="A41" t="s">
        <v>141</v>
      </c>
      <c r="B41" s="10">
        <v>33</v>
      </c>
    </row>
    <row r="42" spans="1:2" ht="12.75">
      <c r="A42" t="s">
        <v>169</v>
      </c>
      <c r="B42" s="10">
        <v>35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H24" sqref="H24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8" width="7.421875" style="0" customWidth="1"/>
    <col min="9" max="9" width="10.00390625" style="0" customWidth="1"/>
    <col min="10" max="10" width="11.7109375" style="0" customWidth="1"/>
    <col min="11" max="11" width="11.28125" style="0" customWidth="1"/>
    <col min="12" max="12" width="18.140625" style="0" customWidth="1"/>
  </cols>
  <sheetData>
    <row r="1" ht="15">
      <c r="A1" s="1" t="s">
        <v>0</v>
      </c>
    </row>
    <row r="2" spans="1:12" ht="15.75" customHeight="1">
      <c r="A2" s="3" t="s">
        <v>321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5" t="s">
        <v>294</v>
      </c>
      <c r="J2" s="5" t="s">
        <v>295</v>
      </c>
      <c r="K2" s="2" t="s">
        <v>322</v>
      </c>
      <c r="L2" s="2" t="s">
        <v>13</v>
      </c>
    </row>
    <row r="3" spans="1:11" s="6" customFormat="1" ht="12.75">
      <c r="A3" s="6" t="s">
        <v>225</v>
      </c>
      <c r="B3" s="6" t="s">
        <v>226</v>
      </c>
      <c r="C3" s="6">
        <v>4</v>
      </c>
      <c r="D3" s="6">
        <v>1</v>
      </c>
      <c r="E3" s="6">
        <v>9</v>
      </c>
      <c r="F3" s="6">
        <v>13</v>
      </c>
      <c r="G3" s="6">
        <f aca="true" t="shared" si="0" ref="G3:G18">E3+F3</f>
        <v>22</v>
      </c>
      <c r="H3" s="20">
        <f aca="true" t="shared" si="1" ref="H3:H18">($G3/$G$19)*100</f>
        <v>14.965986394557824</v>
      </c>
      <c r="I3" s="6">
        <v>11</v>
      </c>
      <c r="J3" s="6">
        <v>56</v>
      </c>
      <c r="K3" s="20">
        <f>($J3/$L$19)*100</f>
        <v>3.9270687237026647</v>
      </c>
    </row>
    <row r="4" spans="1:11" ht="12.75">
      <c r="A4" t="s">
        <v>323</v>
      </c>
      <c r="B4" t="s">
        <v>324</v>
      </c>
      <c r="C4">
        <v>2</v>
      </c>
      <c r="E4">
        <v>4</v>
      </c>
      <c r="F4">
        <v>5</v>
      </c>
      <c r="G4" s="6">
        <f t="shared" si="0"/>
        <v>9</v>
      </c>
      <c r="H4" s="20">
        <f t="shared" si="1"/>
        <v>6.122448979591836</v>
      </c>
      <c r="I4" s="6">
        <v>5</v>
      </c>
      <c r="J4" s="6">
        <v>22</v>
      </c>
      <c r="K4" s="20">
        <v>1.192</v>
      </c>
    </row>
    <row r="5" spans="1:11" ht="12.75">
      <c r="A5" t="s">
        <v>205</v>
      </c>
      <c r="B5" t="s">
        <v>206</v>
      </c>
      <c r="C5">
        <v>1</v>
      </c>
      <c r="E5">
        <v>4</v>
      </c>
      <c r="F5">
        <v>5</v>
      </c>
      <c r="G5" s="6">
        <f t="shared" si="0"/>
        <v>9</v>
      </c>
      <c r="H5" s="20">
        <f t="shared" si="1"/>
        <v>6.122448979591836</v>
      </c>
      <c r="I5" s="6">
        <v>10</v>
      </c>
      <c r="J5" s="6">
        <v>69</v>
      </c>
      <c r="K5" s="20">
        <f aca="true" t="shared" si="2" ref="K5:K18">($J5/$L$19)*100</f>
        <v>4.838709677419355</v>
      </c>
    </row>
    <row r="6" spans="1:12" ht="12.75">
      <c r="A6" t="s">
        <v>258</v>
      </c>
      <c r="B6" t="s">
        <v>272</v>
      </c>
      <c r="C6">
        <v>2</v>
      </c>
      <c r="D6">
        <v>1</v>
      </c>
      <c r="E6">
        <v>2</v>
      </c>
      <c r="F6">
        <v>1</v>
      </c>
      <c r="G6" s="6">
        <f t="shared" si="0"/>
        <v>3</v>
      </c>
      <c r="H6" s="20">
        <f t="shared" si="1"/>
        <v>2.0408163265306123</v>
      </c>
      <c r="I6" s="6">
        <v>5</v>
      </c>
      <c r="J6" s="6">
        <v>16</v>
      </c>
      <c r="K6" s="20">
        <f t="shared" si="2"/>
        <v>1.1220196353436185</v>
      </c>
      <c r="L6" t="s">
        <v>325</v>
      </c>
    </row>
    <row r="7" spans="1:11" ht="12.75">
      <c r="A7" t="s">
        <v>273</v>
      </c>
      <c r="B7" t="s">
        <v>155</v>
      </c>
      <c r="C7">
        <v>1</v>
      </c>
      <c r="E7">
        <v>3</v>
      </c>
      <c r="F7">
        <v>3</v>
      </c>
      <c r="G7" s="6">
        <f t="shared" si="0"/>
        <v>6</v>
      </c>
      <c r="H7" s="20">
        <f t="shared" si="1"/>
        <v>4.081632653061225</v>
      </c>
      <c r="I7" s="6">
        <v>6</v>
      </c>
      <c r="J7" s="6">
        <v>46</v>
      </c>
      <c r="K7" s="20">
        <f t="shared" si="2"/>
        <v>3.225806451612903</v>
      </c>
    </row>
    <row r="8" spans="1:11" ht="12.75">
      <c r="A8" t="s">
        <v>213</v>
      </c>
      <c r="B8" t="s">
        <v>256</v>
      </c>
      <c r="C8">
        <v>1</v>
      </c>
      <c r="E8">
        <v>4</v>
      </c>
      <c r="F8">
        <v>5</v>
      </c>
      <c r="G8" s="6">
        <f t="shared" si="0"/>
        <v>9</v>
      </c>
      <c r="H8" s="20">
        <f t="shared" si="1"/>
        <v>6.122448979591836</v>
      </c>
      <c r="I8" s="6">
        <v>4</v>
      </c>
      <c r="J8" s="6">
        <v>31</v>
      </c>
      <c r="K8" s="20">
        <f t="shared" si="2"/>
        <v>2.1739130434782608</v>
      </c>
    </row>
    <row r="9" spans="1:12" ht="12.75">
      <c r="A9" t="s">
        <v>326</v>
      </c>
      <c r="B9" t="s">
        <v>327</v>
      </c>
      <c r="C9">
        <v>1</v>
      </c>
      <c r="E9">
        <v>0</v>
      </c>
      <c r="F9">
        <v>4</v>
      </c>
      <c r="G9" s="6">
        <f t="shared" si="0"/>
        <v>4</v>
      </c>
      <c r="H9" s="20">
        <f t="shared" si="1"/>
        <v>2.7210884353741496</v>
      </c>
      <c r="I9" s="6">
        <v>1</v>
      </c>
      <c r="J9" s="6">
        <v>4</v>
      </c>
      <c r="K9" s="20">
        <f t="shared" si="2"/>
        <v>0.2805049088359046</v>
      </c>
      <c r="L9" t="s">
        <v>328</v>
      </c>
    </row>
    <row r="10" spans="1:12" ht="12.75">
      <c r="A10" t="s">
        <v>300</v>
      </c>
      <c r="B10" t="s">
        <v>301</v>
      </c>
      <c r="C10">
        <v>2</v>
      </c>
      <c r="E10">
        <v>9</v>
      </c>
      <c r="F10">
        <v>3</v>
      </c>
      <c r="G10" s="6">
        <f t="shared" si="0"/>
        <v>12</v>
      </c>
      <c r="H10" s="20">
        <f t="shared" si="1"/>
        <v>8.16326530612245</v>
      </c>
      <c r="I10" s="6">
        <v>3</v>
      </c>
      <c r="J10" s="6">
        <v>12</v>
      </c>
      <c r="K10" s="20">
        <f t="shared" si="2"/>
        <v>0.8415147265077139</v>
      </c>
      <c r="L10" t="s">
        <v>325</v>
      </c>
    </row>
    <row r="11" spans="1:11" ht="12.75">
      <c r="A11" t="s">
        <v>302</v>
      </c>
      <c r="B11" t="s">
        <v>303</v>
      </c>
      <c r="C11">
        <v>2</v>
      </c>
      <c r="D11">
        <v>1</v>
      </c>
      <c r="E11">
        <v>5</v>
      </c>
      <c r="F11">
        <v>8</v>
      </c>
      <c r="G11" s="6">
        <f t="shared" si="0"/>
        <v>13</v>
      </c>
      <c r="H11" s="20">
        <f t="shared" si="1"/>
        <v>8.843537414965986</v>
      </c>
      <c r="I11" s="6">
        <v>3</v>
      </c>
      <c r="J11" s="6">
        <v>20</v>
      </c>
      <c r="K11" s="20">
        <f t="shared" si="2"/>
        <v>1.402524544179523</v>
      </c>
    </row>
    <row r="12" spans="1:11" ht="12" customHeight="1">
      <c r="A12" t="s">
        <v>245</v>
      </c>
      <c r="B12" t="s">
        <v>246</v>
      </c>
      <c r="C12">
        <v>3</v>
      </c>
      <c r="D12">
        <v>1</v>
      </c>
      <c r="E12">
        <v>6</v>
      </c>
      <c r="F12">
        <v>9</v>
      </c>
      <c r="G12" s="6">
        <f t="shared" si="0"/>
        <v>15</v>
      </c>
      <c r="H12" s="20">
        <f t="shared" si="1"/>
        <v>10.204081632653061</v>
      </c>
      <c r="I12" s="6">
        <v>13</v>
      </c>
      <c r="J12" s="6">
        <v>81</v>
      </c>
      <c r="K12" s="21">
        <f t="shared" si="2"/>
        <v>5.680224403927069</v>
      </c>
    </row>
    <row r="13" spans="1:11" ht="12.75">
      <c r="A13" t="s">
        <v>329</v>
      </c>
      <c r="B13" t="s">
        <v>330</v>
      </c>
      <c r="C13">
        <v>1</v>
      </c>
      <c r="D13">
        <v>1</v>
      </c>
      <c r="E13">
        <v>0</v>
      </c>
      <c r="F13">
        <v>0</v>
      </c>
      <c r="G13" s="6">
        <f t="shared" si="0"/>
        <v>0</v>
      </c>
      <c r="H13" s="20">
        <f t="shared" si="1"/>
        <v>0</v>
      </c>
      <c r="I13" s="6">
        <v>1</v>
      </c>
      <c r="J13" s="6">
        <v>0</v>
      </c>
      <c r="K13" s="20">
        <f t="shared" si="2"/>
        <v>0</v>
      </c>
    </row>
    <row r="14" spans="1:11" ht="12.75">
      <c r="A14" t="s">
        <v>331</v>
      </c>
      <c r="B14" t="s">
        <v>307</v>
      </c>
      <c r="C14">
        <v>1</v>
      </c>
      <c r="E14">
        <v>5</v>
      </c>
      <c r="F14">
        <v>5</v>
      </c>
      <c r="G14" s="6">
        <f t="shared" si="0"/>
        <v>10</v>
      </c>
      <c r="H14" s="20">
        <f t="shared" si="1"/>
        <v>6.802721088435375</v>
      </c>
      <c r="I14" s="6">
        <v>2</v>
      </c>
      <c r="J14" s="6">
        <v>18</v>
      </c>
      <c r="K14" s="20">
        <f t="shared" si="2"/>
        <v>1.262272089761571</v>
      </c>
    </row>
    <row r="15" spans="1:12" ht="12.75">
      <c r="A15" t="s">
        <v>332</v>
      </c>
      <c r="B15" t="s">
        <v>333</v>
      </c>
      <c r="C15">
        <v>1</v>
      </c>
      <c r="E15">
        <v>8</v>
      </c>
      <c r="F15">
        <v>2</v>
      </c>
      <c r="G15" s="6">
        <f t="shared" si="0"/>
        <v>10</v>
      </c>
      <c r="H15" s="20">
        <f t="shared" si="1"/>
        <v>6.802721088435375</v>
      </c>
      <c r="I15" s="6">
        <v>1</v>
      </c>
      <c r="J15" s="6">
        <v>10</v>
      </c>
      <c r="K15" s="20">
        <f t="shared" si="2"/>
        <v>0.7012622720897616</v>
      </c>
      <c r="L15" t="s">
        <v>334</v>
      </c>
    </row>
    <row r="16" spans="1:11" ht="12.75">
      <c r="A16" t="s">
        <v>310</v>
      </c>
      <c r="B16" t="s">
        <v>311</v>
      </c>
      <c r="C16">
        <v>1</v>
      </c>
      <c r="E16">
        <v>4</v>
      </c>
      <c r="F16">
        <v>7</v>
      </c>
      <c r="G16" s="6">
        <f t="shared" si="0"/>
        <v>11</v>
      </c>
      <c r="H16" s="20">
        <f t="shared" si="1"/>
        <v>7.482993197278912</v>
      </c>
      <c r="I16" s="6">
        <v>2</v>
      </c>
      <c r="J16" s="6">
        <v>19</v>
      </c>
      <c r="K16" s="20">
        <f t="shared" si="2"/>
        <v>1.332398316970547</v>
      </c>
    </row>
    <row r="17" spans="1:11" ht="12.75">
      <c r="A17" t="s">
        <v>335</v>
      </c>
      <c r="B17" t="s">
        <v>336</v>
      </c>
      <c r="C17">
        <v>1</v>
      </c>
      <c r="E17">
        <v>5</v>
      </c>
      <c r="F17">
        <v>2</v>
      </c>
      <c r="G17" s="6">
        <f t="shared" si="0"/>
        <v>7</v>
      </c>
      <c r="H17" s="20">
        <f t="shared" si="1"/>
        <v>4.761904761904762</v>
      </c>
      <c r="I17" s="6">
        <v>1</v>
      </c>
      <c r="J17" s="6">
        <v>7</v>
      </c>
      <c r="K17" s="20">
        <f t="shared" si="2"/>
        <v>0.4908835904628331</v>
      </c>
    </row>
    <row r="18" spans="1:11" ht="12.75">
      <c r="A18" t="s">
        <v>337</v>
      </c>
      <c r="B18" t="s">
        <v>218</v>
      </c>
      <c r="C18">
        <v>1</v>
      </c>
      <c r="E18">
        <v>2</v>
      </c>
      <c r="F18">
        <v>5</v>
      </c>
      <c r="G18" s="6">
        <f t="shared" si="0"/>
        <v>7</v>
      </c>
      <c r="H18" s="20">
        <f t="shared" si="1"/>
        <v>4.761904761904762</v>
      </c>
      <c r="I18" s="6">
        <v>4</v>
      </c>
      <c r="J18" s="6">
        <v>32</v>
      </c>
      <c r="K18" s="20">
        <f t="shared" si="2"/>
        <v>2.244039270687237</v>
      </c>
    </row>
    <row r="19" spans="1:12" s="2" customFormat="1" ht="12.75">
      <c r="A19" s="2" t="s">
        <v>8</v>
      </c>
      <c r="C19" s="2">
        <f>SUM(C3:C18)</f>
        <v>25</v>
      </c>
      <c r="D19" s="2">
        <f>SUM(D3:D18)</f>
        <v>5</v>
      </c>
      <c r="E19" s="2">
        <f>SUM(E3:E18)</f>
        <v>70</v>
      </c>
      <c r="F19" s="2">
        <f>SUM(F3:F18)</f>
        <v>77</v>
      </c>
      <c r="G19" s="2">
        <f>SUM(G3:G18)</f>
        <v>147</v>
      </c>
      <c r="K19" s="6" t="s">
        <v>320</v>
      </c>
      <c r="L19" s="6">
        <v>1426</v>
      </c>
    </row>
    <row r="20" spans="1:2" ht="12.75">
      <c r="A20" s="2" t="s">
        <v>338</v>
      </c>
      <c r="B20" s="8">
        <f>(4*15*20)/35</f>
        <v>34.285714285714285</v>
      </c>
    </row>
    <row r="22" ht="12.75">
      <c r="B22" s="9">
        <f>B20/20*50</f>
        <v>85.71428571428571</v>
      </c>
    </row>
    <row r="24" spans="1:8" ht="12.75">
      <c r="A24" t="s">
        <v>339</v>
      </c>
      <c r="G24" s="9">
        <f>SUM(G6+G9+G15+(G10/2))</f>
        <v>23</v>
      </c>
      <c r="H24" s="14">
        <f>G24/G19*100</f>
        <v>15.646258503401361</v>
      </c>
    </row>
    <row r="25" spans="1:8" ht="12.75">
      <c r="A25" t="s">
        <v>340</v>
      </c>
      <c r="H25" s="14">
        <f>100-H24</f>
        <v>84.35374149659864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PageLayoutView="0" workbookViewId="0" topLeftCell="A1">
      <selection activeCell="H33" sqref="H33"/>
    </sheetView>
  </sheetViews>
  <sheetFormatPr defaultColWidth="9.140625" defaultRowHeight="12.75"/>
  <cols>
    <col min="1" max="1" width="35.140625" style="0" customWidth="1"/>
    <col min="2" max="2" width="16.00390625" style="0" customWidth="1"/>
    <col min="3" max="3" width="7.57421875" style="0" customWidth="1"/>
    <col min="5" max="5" width="11.00390625" style="0" customWidth="1"/>
    <col min="6" max="6" width="9.8515625" style="0" customWidth="1"/>
    <col min="7" max="7" width="7.140625" style="0" customWidth="1"/>
    <col min="8" max="8" width="10.421875" style="0" customWidth="1"/>
    <col min="9" max="9" width="15.00390625" style="0" customWidth="1"/>
    <col min="10" max="10" width="17.7109375" style="0" customWidth="1"/>
    <col min="11" max="11" width="17.421875" style="0" customWidth="1"/>
    <col min="12" max="12" width="23.00390625" style="0" customWidth="1"/>
  </cols>
  <sheetData>
    <row r="1" s="23" customFormat="1" ht="21">
      <c r="A1" s="22" t="s">
        <v>0</v>
      </c>
    </row>
    <row r="2" spans="1:12" s="28" customFormat="1" ht="34.5">
      <c r="A2" s="24" t="s">
        <v>341</v>
      </c>
      <c r="B2" s="25" t="s">
        <v>3</v>
      </c>
      <c r="C2" s="25" t="s">
        <v>4</v>
      </c>
      <c r="D2" s="25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7" t="s">
        <v>294</v>
      </c>
      <c r="J2" s="27" t="s">
        <v>295</v>
      </c>
      <c r="K2" s="26" t="s">
        <v>322</v>
      </c>
      <c r="L2" s="26" t="s">
        <v>13</v>
      </c>
    </row>
    <row r="3" spans="1:12" ht="15">
      <c r="A3" s="29" t="s">
        <v>205</v>
      </c>
      <c r="B3" s="29" t="s">
        <v>206</v>
      </c>
      <c r="C3" s="29">
        <v>1</v>
      </c>
      <c r="D3" s="29"/>
      <c r="E3" s="29">
        <v>0</v>
      </c>
      <c r="F3" s="29">
        <v>2</v>
      </c>
      <c r="G3" s="29">
        <f aca="true" t="shared" si="0" ref="G3:G25">SUM(E3:F3)</f>
        <v>2</v>
      </c>
      <c r="H3" s="30">
        <f aca="true" t="shared" si="1" ref="H3:H25">($G3/$G$26)*100</f>
        <v>0.7751937984496124</v>
      </c>
      <c r="I3" s="29">
        <v>11</v>
      </c>
      <c r="J3" s="29">
        <v>71</v>
      </c>
      <c r="K3" s="30">
        <v>3.58</v>
      </c>
      <c r="L3" s="29"/>
    </row>
    <row r="4" spans="1:12" ht="15">
      <c r="A4" s="29" t="s">
        <v>342</v>
      </c>
      <c r="B4" s="29" t="s">
        <v>343</v>
      </c>
      <c r="C4" s="29">
        <v>1</v>
      </c>
      <c r="D4" s="29"/>
      <c r="E4" s="29">
        <v>1</v>
      </c>
      <c r="F4" s="29">
        <v>3</v>
      </c>
      <c r="G4" s="29">
        <f t="shared" si="0"/>
        <v>4</v>
      </c>
      <c r="H4" s="30">
        <f t="shared" si="1"/>
        <v>1.550387596899225</v>
      </c>
      <c r="I4" s="29">
        <v>1</v>
      </c>
      <c r="J4" s="29">
        <v>4</v>
      </c>
      <c r="K4" s="30">
        <f>($J4/$L$26)*100</f>
        <v>0.32546786004882017</v>
      </c>
      <c r="L4" s="29" t="s">
        <v>344</v>
      </c>
    </row>
    <row r="5" spans="1:12" ht="15">
      <c r="A5" s="29" t="s">
        <v>57</v>
      </c>
      <c r="B5" s="29" t="s">
        <v>231</v>
      </c>
      <c r="C5" s="29">
        <v>2</v>
      </c>
      <c r="D5" s="29"/>
      <c r="E5" s="29">
        <v>5</v>
      </c>
      <c r="F5" s="29">
        <v>10</v>
      </c>
      <c r="G5" s="29">
        <f t="shared" si="0"/>
        <v>15</v>
      </c>
      <c r="H5" s="30">
        <f t="shared" si="1"/>
        <v>5.813953488372093</v>
      </c>
      <c r="I5" s="29">
        <v>5</v>
      </c>
      <c r="J5" s="29">
        <v>37</v>
      </c>
      <c r="K5" s="30">
        <v>2.766</v>
      </c>
      <c r="L5" s="29" t="s">
        <v>344</v>
      </c>
    </row>
    <row r="6" spans="1:12" ht="15">
      <c r="A6" s="29" t="s">
        <v>257</v>
      </c>
      <c r="B6" s="29" t="s">
        <v>155</v>
      </c>
      <c r="C6" s="29">
        <v>3</v>
      </c>
      <c r="D6" s="29"/>
      <c r="E6" s="29">
        <v>12</v>
      </c>
      <c r="F6" s="29">
        <v>5</v>
      </c>
      <c r="G6" s="29">
        <f t="shared" si="0"/>
        <v>17</v>
      </c>
      <c r="H6" s="30">
        <f t="shared" si="1"/>
        <v>6.5891472868217065</v>
      </c>
      <c r="I6" s="29">
        <v>9</v>
      </c>
      <c r="J6" s="29">
        <v>63</v>
      </c>
      <c r="K6" s="30">
        <v>4.39</v>
      </c>
      <c r="L6" s="29"/>
    </row>
    <row r="7" spans="1:12" ht="15">
      <c r="A7" s="29" t="s">
        <v>345</v>
      </c>
      <c r="B7" s="29" t="s">
        <v>346</v>
      </c>
      <c r="C7" s="29">
        <v>1</v>
      </c>
      <c r="D7" s="29"/>
      <c r="E7" s="29">
        <v>7</v>
      </c>
      <c r="F7" s="29">
        <v>5</v>
      </c>
      <c r="G7" s="29">
        <f t="shared" si="0"/>
        <v>12</v>
      </c>
      <c r="H7" s="30">
        <f t="shared" si="1"/>
        <v>4.651162790697675</v>
      </c>
      <c r="I7" s="29">
        <v>1</v>
      </c>
      <c r="J7" s="29">
        <v>12</v>
      </c>
      <c r="K7" s="30">
        <f>($J7/$L$26)*100</f>
        <v>0.9764035801464606</v>
      </c>
      <c r="L7" s="29"/>
    </row>
    <row r="8" spans="1:12" ht="15">
      <c r="A8" s="29" t="s">
        <v>213</v>
      </c>
      <c r="B8" s="29" t="s">
        <v>256</v>
      </c>
      <c r="C8" s="29">
        <v>2</v>
      </c>
      <c r="D8" s="29"/>
      <c r="E8" s="29">
        <v>6</v>
      </c>
      <c r="F8" s="29">
        <v>13</v>
      </c>
      <c r="G8" s="29">
        <f t="shared" si="0"/>
        <v>19</v>
      </c>
      <c r="H8" s="30">
        <f t="shared" si="1"/>
        <v>7.3643410852713185</v>
      </c>
      <c r="I8" s="29">
        <v>6</v>
      </c>
      <c r="J8" s="29">
        <v>50</v>
      </c>
      <c r="K8" s="30">
        <v>3.33</v>
      </c>
      <c r="L8" s="29"/>
    </row>
    <row r="9" spans="1:12" ht="15">
      <c r="A9" s="29" t="s">
        <v>300</v>
      </c>
      <c r="B9" s="29" t="s">
        <v>301</v>
      </c>
      <c r="C9" s="29">
        <v>5</v>
      </c>
      <c r="D9" s="29"/>
      <c r="E9" s="29">
        <v>12</v>
      </c>
      <c r="F9" s="29">
        <v>20</v>
      </c>
      <c r="G9" s="29">
        <f t="shared" si="0"/>
        <v>32</v>
      </c>
      <c r="H9" s="30">
        <f t="shared" si="1"/>
        <v>12.4031007751938</v>
      </c>
      <c r="I9" s="29">
        <v>8</v>
      </c>
      <c r="J9" s="29">
        <v>44</v>
      </c>
      <c r="K9" s="30">
        <f aca="true" t="shared" si="2" ref="K9:K14">($J9/$L$26)*100</f>
        <v>3.580146460537022</v>
      </c>
      <c r="L9" s="29" t="s">
        <v>344</v>
      </c>
    </row>
    <row r="10" spans="1:12" ht="15">
      <c r="A10" s="29" t="s">
        <v>302</v>
      </c>
      <c r="B10" s="29" t="s">
        <v>303</v>
      </c>
      <c r="C10" s="29">
        <v>2</v>
      </c>
      <c r="D10" s="29"/>
      <c r="E10" s="29">
        <v>8</v>
      </c>
      <c r="F10" s="29">
        <v>7</v>
      </c>
      <c r="G10" s="29">
        <f t="shared" si="0"/>
        <v>15</v>
      </c>
      <c r="H10" s="30">
        <f t="shared" si="1"/>
        <v>5.813953488372093</v>
      </c>
      <c r="I10" s="29">
        <v>5</v>
      </c>
      <c r="J10" s="29">
        <v>35</v>
      </c>
      <c r="K10" s="30">
        <f t="shared" si="2"/>
        <v>2.8478437754271764</v>
      </c>
      <c r="L10" s="29"/>
    </row>
    <row r="11" spans="1:12" ht="15">
      <c r="A11" s="29" t="s">
        <v>245</v>
      </c>
      <c r="B11" s="29" t="s">
        <v>246</v>
      </c>
      <c r="C11" s="29">
        <v>2</v>
      </c>
      <c r="D11" s="29">
        <v>1</v>
      </c>
      <c r="E11" s="29">
        <v>5</v>
      </c>
      <c r="F11" s="29">
        <v>6</v>
      </c>
      <c r="G11" s="29">
        <f t="shared" si="0"/>
        <v>11</v>
      </c>
      <c r="H11" s="30">
        <f t="shared" si="1"/>
        <v>4.263565891472868</v>
      </c>
      <c r="I11" s="29">
        <v>16</v>
      </c>
      <c r="J11" s="29">
        <v>92</v>
      </c>
      <c r="K11" s="30">
        <f t="shared" si="2"/>
        <v>7.485760781122865</v>
      </c>
      <c r="L11" s="29"/>
    </row>
    <row r="12" spans="1:12" ht="15">
      <c r="A12" s="29" t="s">
        <v>347</v>
      </c>
      <c r="B12" s="29" t="s">
        <v>348</v>
      </c>
      <c r="C12" s="29">
        <v>1</v>
      </c>
      <c r="D12" s="29"/>
      <c r="E12" s="29">
        <v>7</v>
      </c>
      <c r="F12" s="29">
        <v>2</v>
      </c>
      <c r="G12" s="29">
        <f t="shared" si="0"/>
        <v>9</v>
      </c>
      <c r="H12" s="30">
        <f t="shared" si="1"/>
        <v>3.488372093023256</v>
      </c>
      <c r="I12" s="29">
        <v>1</v>
      </c>
      <c r="J12" s="29">
        <v>9</v>
      </c>
      <c r="K12" s="30">
        <f t="shared" si="2"/>
        <v>0.7323026851098454</v>
      </c>
      <c r="L12" s="29"/>
    </row>
    <row r="13" spans="1:12" ht="15">
      <c r="A13" s="29" t="s">
        <v>349</v>
      </c>
      <c r="B13" s="29" t="s">
        <v>307</v>
      </c>
      <c r="C13" s="29">
        <v>1</v>
      </c>
      <c r="D13" s="29"/>
      <c r="E13" s="29">
        <v>2</v>
      </c>
      <c r="F13" s="29">
        <v>7</v>
      </c>
      <c r="G13" s="29">
        <f t="shared" si="0"/>
        <v>9</v>
      </c>
      <c r="H13" s="30">
        <f t="shared" si="1"/>
        <v>3.488372093023256</v>
      </c>
      <c r="I13" s="29">
        <v>3</v>
      </c>
      <c r="J13" s="29">
        <v>27</v>
      </c>
      <c r="K13" s="30">
        <f t="shared" si="2"/>
        <v>2.196908055329536</v>
      </c>
      <c r="L13" s="29"/>
    </row>
    <row r="14" spans="1:12" ht="15">
      <c r="A14" s="29" t="s">
        <v>350</v>
      </c>
      <c r="B14" s="29" t="s">
        <v>351</v>
      </c>
      <c r="C14" s="29">
        <v>1</v>
      </c>
      <c r="D14" s="29"/>
      <c r="E14" s="29">
        <v>1</v>
      </c>
      <c r="F14" s="29">
        <v>5</v>
      </c>
      <c r="G14" s="29">
        <f t="shared" si="0"/>
        <v>6</v>
      </c>
      <c r="H14" s="30">
        <f t="shared" si="1"/>
        <v>2.3255813953488373</v>
      </c>
      <c r="I14" s="29">
        <v>1</v>
      </c>
      <c r="J14" s="29">
        <v>6</v>
      </c>
      <c r="K14" s="30">
        <f t="shared" si="2"/>
        <v>0.4882017900732303</v>
      </c>
      <c r="L14" s="29" t="s">
        <v>344</v>
      </c>
    </row>
    <row r="15" spans="1:12" ht="15">
      <c r="A15" s="29" t="s">
        <v>225</v>
      </c>
      <c r="B15" s="29" t="s">
        <v>226</v>
      </c>
      <c r="C15" s="29">
        <v>1</v>
      </c>
      <c r="D15" s="29"/>
      <c r="E15" s="29">
        <v>6</v>
      </c>
      <c r="F15" s="29">
        <v>4</v>
      </c>
      <c r="G15" s="29">
        <f t="shared" si="0"/>
        <v>10</v>
      </c>
      <c r="H15" s="30">
        <f t="shared" si="1"/>
        <v>3.875968992248062</v>
      </c>
      <c r="I15" s="29">
        <v>12</v>
      </c>
      <c r="J15" s="29">
        <v>66</v>
      </c>
      <c r="K15" s="30">
        <v>4.882</v>
      </c>
      <c r="L15" s="29"/>
    </row>
    <row r="16" spans="1:12" s="6" customFormat="1" ht="15">
      <c r="A16" s="29" t="s">
        <v>310</v>
      </c>
      <c r="B16" s="29" t="s">
        <v>311</v>
      </c>
      <c r="C16" s="29">
        <v>2</v>
      </c>
      <c r="D16" s="29"/>
      <c r="E16" s="29">
        <v>10</v>
      </c>
      <c r="F16" s="29">
        <v>8</v>
      </c>
      <c r="G16" s="29">
        <f t="shared" si="0"/>
        <v>18</v>
      </c>
      <c r="H16" s="30">
        <f t="shared" si="1"/>
        <v>6.976744186046512</v>
      </c>
      <c r="I16" s="29">
        <v>4</v>
      </c>
      <c r="J16" s="29">
        <v>37</v>
      </c>
      <c r="K16" s="30">
        <f aca="true" t="shared" si="3" ref="K16:K25">($J16/$L$26)*100</f>
        <v>3.010577705451587</v>
      </c>
      <c r="L16" s="29"/>
    </row>
    <row r="17" spans="1:12" ht="15">
      <c r="A17" s="29" t="s">
        <v>352</v>
      </c>
      <c r="B17" s="29" t="s">
        <v>283</v>
      </c>
      <c r="C17" s="29">
        <v>2</v>
      </c>
      <c r="D17" s="29"/>
      <c r="E17" s="29">
        <v>8</v>
      </c>
      <c r="F17" s="29">
        <v>6</v>
      </c>
      <c r="G17" s="29">
        <f t="shared" si="0"/>
        <v>14</v>
      </c>
      <c r="H17" s="30">
        <f t="shared" si="1"/>
        <v>5.426356589147287</v>
      </c>
      <c r="I17" s="29">
        <v>4</v>
      </c>
      <c r="J17" s="29">
        <v>25</v>
      </c>
      <c r="K17" s="30">
        <f t="shared" si="3"/>
        <v>2.034174125305126</v>
      </c>
      <c r="L17" s="29"/>
    </row>
    <row r="18" spans="1:12" ht="15">
      <c r="A18" s="29" t="s">
        <v>286</v>
      </c>
      <c r="B18" s="29" t="s">
        <v>287</v>
      </c>
      <c r="C18" s="29">
        <v>1</v>
      </c>
      <c r="D18" s="29"/>
      <c r="E18" s="29">
        <v>2</v>
      </c>
      <c r="F18" s="29">
        <v>0</v>
      </c>
      <c r="G18" s="29">
        <f t="shared" si="0"/>
        <v>2</v>
      </c>
      <c r="H18" s="30">
        <f t="shared" si="1"/>
        <v>0.7751937984496124</v>
      </c>
      <c r="I18" s="29">
        <v>1</v>
      </c>
      <c r="J18" s="29">
        <v>2</v>
      </c>
      <c r="K18" s="30">
        <f t="shared" si="3"/>
        <v>0.16273393002441008</v>
      </c>
      <c r="L18" s="29"/>
    </row>
    <row r="19" spans="1:12" s="6" customFormat="1" ht="15">
      <c r="A19" s="29" t="s">
        <v>353</v>
      </c>
      <c r="B19" s="29" t="s">
        <v>354</v>
      </c>
      <c r="C19" s="29">
        <v>1</v>
      </c>
      <c r="D19" s="29">
        <v>1</v>
      </c>
      <c r="E19" s="29">
        <v>0</v>
      </c>
      <c r="F19" s="29">
        <v>0</v>
      </c>
      <c r="G19" s="29">
        <f t="shared" si="0"/>
        <v>0</v>
      </c>
      <c r="H19" s="30">
        <f t="shared" si="1"/>
        <v>0</v>
      </c>
      <c r="I19" s="29">
        <v>1</v>
      </c>
      <c r="J19" s="29">
        <v>0</v>
      </c>
      <c r="K19" s="30">
        <f t="shared" si="3"/>
        <v>0</v>
      </c>
      <c r="L19" s="29"/>
    </row>
    <row r="20" spans="1:12" ht="15">
      <c r="A20" s="29" t="s">
        <v>355</v>
      </c>
      <c r="B20" s="29" t="s">
        <v>356</v>
      </c>
      <c r="C20" s="29">
        <v>3</v>
      </c>
      <c r="D20" s="29">
        <v>3</v>
      </c>
      <c r="E20" s="29">
        <v>0</v>
      </c>
      <c r="F20" s="29">
        <v>0</v>
      </c>
      <c r="G20" s="29">
        <f t="shared" si="0"/>
        <v>0</v>
      </c>
      <c r="H20" s="30">
        <f t="shared" si="1"/>
        <v>0</v>
      </c>
      <c r="I20" s="29">
        <v>3</v>
      </c>
      <c r="J20" s="29">
        <v>0</v>
      </c>
      <c r="K20" s="30">
        <f t="shared" si="3"/>
        <v>0</v>
      </c>
      <c r="L20" s="29"/>
    </row>
    <row r="21" spans="1:12" s="6" customFormat="1" ht="15">
      <c r="A21" s="29" t="s">
        <v>357</v>
      </c>
      <c r="B21" s="29" t="s">
        <v>358</v>
      </c>
      <c r="C21" s="29">
        <v>4</v>
      </c>
      <c r="D21" s="29">
        <v>1</v>
      </c>
      <c r="E21" s="29">
        <v>8</v>
      </c>
      <c r="F21" s="29">
        <v>12</v>
      </c>
      <c r="G21" s="29">
        <f t="shared" si="0"/>
        <v>20</v>
      </c>
      <c r="H21" s="30">
        <f t="shared" si="1"/>
        <v>7.751937984496124</v>
      </c>
      <c r="I21" s="29">
        <v>4</v>
      </c>
      <c r="J21" s="29">
        <v>20</v>
      </c>
      <c r="K21" s="30">
        <f t="shared" si="3"/>
        <v>1.627339300244101</v>
      </c>
      <c r="L21" s="29"/>
    </row>
    <row r="22" spans="1:12" ht="15">
      <c r="A22" s="29" t="s">
        <v>314</v>
      </c>
      <c r="B22" s="29" t="s">
        <v>315</v>
      </c>
      <c r="C22" s="29">
        <v>1</v>
      </c>
      <c r="D22" s="29">
        <v>1</v>
      </c>
      <c r="E22" s="29">
        <v>1</v>
      </c>
      <c r="F22" s="29">
        <v>0</v>
      </c>
      <c r="G22" s="29">
        <f t="shared" si="0"/>
        <v>1</v>
      </c>
      <c r="H22" s="30">
        <f t="shared" si="1"/>
        <v>0.3875968992248062</v>
      </c>
      <c r="I22" s="29">
        <v>2</v>
      </c>
      <c r="J22" s="29">
        <v>9</v>
      </c>
      <c r="K22" s="30">
        <f t="shared" si="3"/>
        <v>0.7323026851098454</v>
      </c>
      <c r="L22" s="29"/>
    </row>
    <row r="23" spans="1:12" ht="15">
      <c r="A23" s="29" t="s">
        <v>359</v>
      </c>
      <c r="B23" s="29" t="s">
        <v>360</v>
      </c>
      <c r="C23" s="29">
        <v>4</v>
      </c>
      <c r="D23" s="29"/>
      <c r="E23" s="29">
        <v>17</v>
      </c>
      <c r="F23" s="29">
        <v>14</v>
      </c>
      <c r="G23" s="29">
        <f t="shared" si="0"/>
        <v>31</v>
      </c>
      <c r="H23" s="30">
        <f t="shared" si="1"/>
        <v>12.015503875968992</v>
      </c>
      <c r="I23" s="29">
        <v>4</v>
      </c>
      <c r="J23" s="29">
        <v>31</v>
      </c>
      <c r="K23" s="30">
        <f t="shared" si="3"/>
        <v>2.5223759153783565</v>
      </c>
      <c r="L23" s="29" t="s">
        <v>361</v>
      </c>
    </row>
    <row r="24" spans="1:12" ht="15">
      <c r="A24" s="29" t="s">
        <v>362</v>
      </c>
      <c r="B24" s="29" t="s">
        <v>363</v>
      </c>
      <c r="C24" s="29">
        <v>1</v>
      </c>
      <c r="D24" s="29"/>
      <c r="E24" s="29">
        <v>1</v>
      </c>
      <c r="F24" s="29">
        <v>5</v>
      </c>
      <c r="G24" s="29">
        <f t="shared" si="0"/>
        <v>6</v>
      </c>
      <c r="H24" s="30">
        <f t="shared" si="1"/>
        <v>2.3255813953488373</v>
      </c>
      <c r="I24" s="29">
        <v>1</v>
      </c>
      <c r="J24" s="29">
        <v>6</v>
      </c>
      <c r="K24" s="30">
        <f t="shared" si="3"/>
        <v>0.4882017900732303</v>
      </c>
      <c r="L24" s="29"/>
    </row>
    <row r="25" spans="1:12" ht="15">
      <c r="A25" s="29" t="s">
        <v>364</v>
      </c>
      <c r="B25" s="29" t="s">
        <v>365</v>
      </c>
      <c r="C25" s="29">
        <v>1</v>
      </c>
      <c r="D25" s="29"/>
      <c r="E25" s="29">
        <v>3</v>
      </c>
      <c r="F25" s="29">
        <v>2</v>
      </c>
      <c r="G25" s="29">
        <f t="shared" si="0"/>
        <v>5</v>
      </c>
      <c r="H25" s="30">
        <f t="shared" si="1"/>
        <v>1.937984496124031</v>
      </c>
      <c r="I25" s="29">
        <v>1</v>
      </c>
      <c r="J25" s="29">
        <v>5</v>
      </c>
      <c r="K25" s="30">
        <f t="shared" si="3"/>
        <v>0.40683482506102525</v>
      </c>
      <c r="L25" s="29" t="s">
        <v>344</v>
      </c>
    </row>
    <row r="26" spans="1:12" ht="15">
      <c r="A26" s="1" t="s">
        <v>8</v>
      </c>
      <c r="B26" s="29"/>
      <c r="C26" s="1">
        <f>SUM(C3:C25)</f>
        <v>43</v>
      </c>
      <c r="D26" s="1">
        <f>SUM(D3:D25)</f>
        <v>7</v>
      </c>
      <c r="E26" s="1">
        <f>SUM(E3:E25)</f>
        <v>122</v>
      </c>
      <c r="F26" s="1">
        <f>SUM(F3:F25)</f>
        <v>136</v>
      </c>
      <c r="G26" s="1">
        <f>SUM(G3:G25)</f>
        <v>258</v>
      </c>
      <c r="H26" s="29"/>
      <c r="I26" s="29"/>
      <c r="J26" s="29"/>
      <c r="K26" s="30" t="s">
        <v>320</v>
      </c>
      <c r="L26" s="29">
        <v>1229</v>
      </c>
    </row>
    <row r="27" spans="1:12" ht="15">
      <c r="A27" s="1" t="s">
        <v>51</v>
      </c>
      <c r="B27" s="31">
        <f>(4*21*36)/57</f>
        <v>53.05263157894737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ht="15">
      <c r="B29" s="31">
        <f>B27/36*50</f>
        <v>73.6842105263158</v>
      </c>
    </row>
    <row r="31" ht="12.75">
      <c r="A31" s="2"/>
    </row>
    <row r="32" spans="1:8" ht="15">
      <c r="A32" s="29" t="s">
        <v>366</v>
      </c>
      <c r="G32" s="32">
        <f>SUM(G4+G5+G9+G14+G25+(G23/4))</f>
        <v>69.75</v>
      </c>
      <c r="H32" s="33">
        <f>G32/G26*100</f>
        <v>27.03488372093023</v>
      </c>
    </row>
    <row r="33" spans="1:8" ht="15">
      <c r="A33" s="29" t="s">
        <v>367</v>
      </c>
      <c r="G33" s="29"/>
      <c r="H33" s="33">
        <f>100-H32</f>
        <v>72.96511627906978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zoomScalePageLayoutView="0" workbookViewId="0" topLeftCell="A25">
      <selection activeCell="H36" sqref="H36"/>
    </sheetView>
  </sheetViews>
  <sheetFormatPr defaultColWidth="9.140625" defaultRowHeight="12.75"/>
  <cols>
    <col min="1" max="1" width="32.28125" style="0" customWidth="1"/>
    <col min="2" max="2" width="11.57421875" style="0" customWidth="1"/>
    <col min="3" max="3" width="7.28125" style="0" customWidth="1"/>
    <col min="4" max="4" width="6.140625" style="0" customWidth="1"/>
    <col min="5" max="5" width="8.28125" style="0" customWidth="1"/>
    <col min="6" max="6" width="8.00390625" style="0" customWidth="1"/>
    <col min="7" max="8" width="10.7109375" style="0" customWidth="1"/>
    <col min="9" max="9" width="10.421875" style="0" customWidth="1"/>
    <col min="10" max="10" width="11.28125" style="0" customWidth="1"/>
    <col min="11" max="11" width="11.8515625" style="0" customWidth="1"/>
    <col min="12" max="12" width="11.7109375" style="0" customWidth="1"/>
    <col min="14" max="14" width="9.140625" style="34" customWidth="1"/>
  </cols>
  <sheetData>
    <row r="1" spans="1:14" ht="12.75" customHeight="1">
      <c r="A1" s="22" t="s">
        <v>0</v>
      </c>
      <c r="C1" s="97" t="s">
        <v>4</v>
      </c>
      <c r="D1" s="98" t="s">
        <v>368</v>
      </c>
      <c r="E1" s="97" t="s">
        <v>6</v>
      </c>
      <c r="F1" s="97" t="s">
        <v>7</v>
      </c>
      <c r="I1" s="97" t="s">
        <v>294</v>
      </c>
      <c r="J1" s="97" t="s">
        <v>295</v>
      </c>
      <c r="K1" s="97" t="s">
        <v>322</v>
      </c>
      <c r="L1" s="99" t="s">
        <v>13</v>
      </c>
      <c r="N1" s="35"/>
    </row>
    <row r="2" spans="1:14" s="28" customFormat="1" ht="15.75" customHeight="1">
      <c r="A2" s="24" t="s">
        <v>369</v>
      </c>
      <c r="B2" s="25" t="s">
        <v>3</v>
      </c>
      <c r="C2" s="97"/>
      <c r="D2" s="98"/>
      <c r="E2" s="97"/>
      <c r="F2" s="97"/>
      <c r="G2" s="26" t="s">
        <v>8</v>
      </c>
      <c r="H2" s="26" t="s">
        <v>9</v>
      </c>
      <c r="I2" s="97"/>
      <c r="J2" s="97"/>
      <c r="K2" s="97"/>
      <c r="L2" s="99"/>
      <c r="N2" s="36"/>
    </row>
    <row r="3" spans="1:14" ht="15">
      <c r="A3" s="29" t="s">
        <v>207</v>
      </c>
      <c r="B3" s="29" t="s">
        <v>208</v>
      </c>
      <c r="C3" s="37">
        <v>2</v>
      </c>
      <c r="D3" s="37">
        <v>1</v>
      </c>
      <c r="E3" s="37">
        <v>0</v>
      </c>
      <c r="F3" s="37">
        <v>1</v>
      </c>
      <c r="G3" s="37">
        <v>1</v>
      </c>
      <c r="H3" s="38">
        <f aca="true" t="shared" si="0" ref="H3:H27">($G3/$G$28)*100</f>
        <v>0.3787878787878788</v>
      </c>
      <c r="I3" s="37">
        <v>10</v>
      </c>
      <c r="J3" s="37">
        <v>36</v>
      </c>
      <c r="K3" s="38">
        <f aca="true" t="shared" si="1" ref="K3:K27">($J3/$L$28)*100</f>
        <v>2.877697841726619</v>
      </c>
      <c r="L3" s="39"/>
      <c r="M3" s="29"/>
      <c r="N3" s="35"/>
    </row>
    <row r="4" spans="1:14" ht="15">
      <c r="A4" s="29" t="s">
        <v>370</v>
      </c>
      <c r="B4" s="29"/>
      <c r="C4" s="37">
        <v>1</v>
      </c>
      <c r="D4" s="37"/>
      <c r="E4" s="37">
        <v>5</v>
      </c>
      <c r="F4" s="37">
        <v>5</v>
      </c>
      <c r="G4" s="37">
        <v>10</v>
      </c>
      <c r="H4" s="38">
        <f t="shared" si="0"/>
        <v>3.787878787878788</v>
      </c>
      <c r="I4" s="37">
        <v>1</v>
      </c>
      <c r="J4" s="37">
        <v>10</v>
      </c>
      <c r="K4" s="38">
        <f t="shared" si="1"/>
        <v>0.7993605115907274</v>
      </c>
      <c r="L4" s="39" t="s">
        <v>371</v>
      </c>
      <c r="M4" s="29"/>
      <c r="N4" s="35"/>
    </row>
    <row r="5" spans="1:14" ht="15">
      <c r="A5" s="29" t="s">
        <v>342</v>
      </c>
      <c r="B5" s="29" t="s">
        <v>372</v>
      </c>
      <c r="C5" s="37">
        <v>5</v>
      </c>
      <c r="D5" s="37"/>
      <c r="E5" s="37">
        <v>19</v>
      </c>
      <c r="F5" s="37">
        <v>18</v>
      </c>
      <c r="G5" s="37">
        <v>37</v>
      </c>
      <c r="H5" s="38">
        <f t="shared" si="0"/>
        <v>14.015151515151514</v>
      </c>
      <c r="I5" s="37">
        <v>5</v>
      </c>
      <c r="J5" s="37">
        <v>37</v>
      </c>
      <c r="K5" s="38">
        <f t="shared" si="1"/>
        <v>2.9576338928856916</v>
      </c>
      <c r="L5" s="39" t="s">
        <v>373</v>
      </c>
      <c r="M5" s="29"/>
      <c r="N5" s="40"/>
    </row>
    <row r="6" spans="1:14" ht="15">
      <c r="A6" s="29" t="s">
        <v>80</v>
      </c>
      <c r="B6" s="29" t="s">
        <v>374</v>
      </c>
      <c r="C6" s="37">
        <v>2</v>
      </c>
      <c r="D6" s="37">
        <v>1</v>
      </c>
      <c r="E6" s="37">
        <v>4</v>
      </c>
      <c r="F6" s="37">
        <v>3</v>
      </c>
      <c r="G6" s="37">
        <v>7</v>
      </c>
      <c r="H6" s="38">
        <f t="shared" si="0"/>
        <v>2.6515151515151514</v>
      </c>
      <c r="I6" s="37">
        <v>2</v>
      </c>
      <c r="J6" s="37">
        <v>7</v>
      </c>
      <c r="K6" s="38">
        <f t="shared" si="1"/>
        <v>0.5595523581135092</v>
      </c>
      <c r="L6" s="39"/>
      <c r="M6" s="29"/>
      <c r="N6" s="40"/>
    </row>
    <row r="7" spans="1:14" ht="15">
      <c r="A7" s="29" t="s">
        <v>57</v>
      </c>
      <c r="B7" s="29" t="s">
        <v>231</v>
      </c>
      <c r="C7" s="37">
        <v>1</v>
      </c>
      <c r="D7" s="37"/>
      <c r="E7" s="37">
        <v>3</v>
      </c>
      <c r="F7" s="37">
        <v>3</v>
      </c>
      <c r="G7" s="37">
        <v>6</v>
      </c>
      <c r="H7" s="38">
        <f t="shared" si="0"/>
        <v>2.272727272727273</v>
      </c>
      <c r="I7" s="37">
        <v>3</v>
      </c>
      <c r="J7" s="37">
        <v>21</v>
      </c>
      <c r="K7" s="38">
        <f t="shared" si="1"/>
        <v>1.6786570743405276</v>
      </c>
      <c r="L7" s="39"/>
      <c r="M7" s="29"/>
      <c r="N7" s="41"/>
    </row>
    <row r="8" spans="1:14" ht="15">
      <c r="A8" s="29" t="s">
        <v>258</v>
      </c>
      <c r="B8" s="29"/>
      <c r="C8" s="37">
        <v>1</v>
      </c>
      <c r="D8" s="37"/>
      <c r="E8" s="37">
        <v>4</v>
      </c>
      <c r="F8" s="37">
        <v>1</v>
      </c>
      <c r="G8" s="37">
        <v>5</v>
      </c>
      <c r="H8" s="38">
        <f t="shared" si="0"/>
        <v>1.893939393939394</v>
      </c>
      <c r="I8" s="37">
        <v>5</v>
      </c>
      <c r="J8" s="37">
        <v>21</v>
      </c>
      <c r="K8" s="38">
        <f t="shared" si="1"/>
        <v>1.6786570743405276</v>
      </c>
      <c r="L8" s="39" t="s">
        <v>371</v>
      </c>
      <c r="M8" s="29"/>
      <c r="N8" s="35"/>
    </row>
    <row r="9" spans="1:14" ht="15">
      <c r="A9" s="29" t="s">
        <v>375</v>
      </c>
      <c r="B9" s="29" t="s">
        <v>301</v>
      </c>
      <c r="C9" s="37">
        <v>4</v>
      </c>
      <c r="D9" s="37"/>
      <c r="E9" s="37">
        <v>8</v>
      </c>
      <c r="F9" s="37">
        <v>8</v>
      </c>
      <c r="G9" s="37">
        <v>16</v>
      </c>
      <c r="H9" s="38">
        <f t="shared" si="0"/>
        <v>6.0606060606060606</v>
      </c>
      <c r="I9" s="37">
        <v>12</v>
      </c>
      <c r="J9" s="37">
        <v>60</v>
      </c>
      <c r="K9" s="38">
        <f t="shared" si="1"/>
        <v>4.796163069544365</v>
      </c>
      <c r="L9" s="39" t="s">
        <v>371</v>
      </c>
      <c r="M9" s="29"/>
      <c r="N9" s="35"/>
    </row>
    <row r="10" spans="1:14" ht="15">
      <c r="A10" s="29" t="s">
        <v>376</v>
      </c>
      <c r="B10" s="29" t="s">
        <v>377</v>
      </c>
      <c r="C10" s="37">
        <v>5</v>
      </c>
      <c r="D10" s="37"/>
      <c r="E10" s="37">
        <v>17</v>
      </c>
      <c r="F10" s="37">
        <v>20</v>
      </c>
      <c r="G10" s="37">
        <v>37</v>
      </c>
      <c r="H10" s="38">
        <f t="shared" si="0"/>
        <v>14.015151515151514</v>
      </c>
      <c r="I10" s="37">
        <v>5</v>
      </c>
      <c r="J10" s="37">
        <v>37</v>
      </c>
      <c r="K10" s="38">
        <f t="shared" si="1"/>
        <v>2.9576338928856916</v>
      </c>
      <c r="L10" s="39"/>
      <c r="M10" s="29"/>
      <c r="N10" s="35"/>
    </row>
    <row r="11" spans="1:14" ht="15">
      <c r="A11" s="29" t="s">
        <v>378</v>
      </c>
      <c r="B11" s="29" t="s">
        <v>303</v>
      </c>
      <c r="C11" s="37">
        <v>3</v>
      </c>
      <c r="D11" s="37"/>
      <c r="E11" s="37">
        <v>8</v>
      </c>
      <c r="F11" s="37">
        <v>9</v>
      </c>
      <c r="G11" s="37">
        <v>17</v>
      </c>
      <c r="H11" s="38">
        <f t="shared" si="0"/>
        <v>6.4393939393939394</v>
      </c>
      <c r="I11" s="37">
        <v>5</v>
      </c>
      <c r="J11" s="37">
        <v>32</v>
      </c>
      <c r="K11" s="38">
        <f t="shared" si="1"/>
        <v>2.5579536370903275</v>
      </c>
      <c r="L11" s="39"/>
      <c r="M11" s="29"/>
      <c r="N11" s="35"/>
    </row>
    <row r="12" spans="1:14" ht="15">
      <c r="A12" s="29" t="s">
        <v>379</v>
      </c>
      <c r="B12" s="29" t="s">
        <v>380</v>
      </c>
      <c r="C12" s="37">
        <v>2</v>
      </c>
      <c r="D12" s="37"/>
      <c r="E12" s="37">
        <v>7</v>
      </c>
      <c r="F12" s="37">
        <v>9</v>
      </c>
      <c r="G12" s="37">
        <v>16</v>
      </c>
      <c r="H12" s="38">
        <f t="shared" si="0"/>
        <v>6.0606060606060606</v>
      </c>
      <c r="I12" s="37">
        <v>2</v>
      </c>
      <c r="J12" s="37">
        <v>16</v>
      </c>
      <c r="K12" s="38">
        <f t="shared" si="1"/>
        <v>1.2789768185451638</v>
      </c>
      <c r="L12" s="39"/>
      <c r="M12" s="29"/>
      <c r="N12" s="35"/>
    </row>
    <row r="13" spans="1:14" ht="15">
      <c r="A13" s="29" t="s">
        <v>381</v>
      </c>
      <c r="B13" s="29" t="s">
        <v>351</v>
      </c>
      <c r="C13" s="37">
        <v>1</v>
      </c>
      <c r="D13" s="37"/>
      <c r="E13" s="37">
        <v>4</v>
      </c>
      <c r="F13" s="37">
        <v>4</v>
      </c>
      <c r="G13" s="37">
        <v>8</v>
      </c>
      <c r="H13" s="38">
        <f t="shared" si="0"/>
        <v>3.0303030303030303</v>
      </c>
      <c r="I13" s="37">
        <v>2</v>
      </c>
      <c r="J13" s="37">
        <v>14</v>
      </c>
      <c r="K13" s="38">
        <f t="shared" si="1"/>
        <v>1.1191047162270185</v>
      </c>
      <c r="L13" s="39"/>
      <c r="M13" s="29"/>
      <c r="N13" s="35"/>
    </row>
    <row r="14" spans="1:14" ht="15">
      <c r="A14" s="29" t="s">
        <v>382</v>
      </c>
      <c r="B14" s="29" t="s">
        <v>226</v>
      </c>
      <c r="C14" s="37">
        <v>1</v>
      </c>
      <c r="D14" s="37"/>
      <c r="E14" s="37">
        <v>2</v>
      </c>
      <c r="F14" s="37">
        <v>3</v>
      </c>
      <c r="G14" s="37">
        <v>5</v>
      </c>
      <c r="H14" s="38">
        <f t="shared" si="0"/>
        <v>1.893939393939394</v>
      </c>
      <c r="I14" s="37">
        <v>13</v>
      </c>
      <c r="J14" s="37">
        <v>71</v>
      </c>
      <c r="K14" s="38">
        <f t="shared" si="1"/>
        <v>5.675459632294165</v>
      </c>
      <c r="L14" s="39"/>
      <c r="M14" s="29"/>
      <c r="N14" s="35"/>
    </row>
    <row r="15" spans="1:14" ht="15">
      <c r="A15" s="29" t="s">
        <v>383</v>
      </c>
      <c r="B15" s="29"/>
      <c r="C15" s="37">
        <v>1</v>
      </c>
      <c r="D15" s="37"/>
      <c r="E15" s="37">
        <v>3</v>
      </c>
      <c r="F15" s="37">
        <v>4</v>
      </c>
      <c r="G15" s="37">
        <v>7</v>
      </c>
      <c r="H15" s="38">
        <f t="shared" si="0"/>
        <v>2.6515151515151514</v>
      </c>
      <c r="I15" s="37">
        <v>1</v>
      </c>
      <c r="J15" s="37">
        <v>7</v>
      </c>
      <c r="K15" s="38">
        <f t="shared" si="1"/>
        <v>0.5595523581135092</v>
      </c>
      <c r="L15" s="39"/>
      <c r="M15" s="29"/>
      <c r="N15" s="35"/>
    </row>
    <row r="16" spans="1:14" s="6" customFormat="1" ht="15">
      <c r="A16" s="29" t="s">
        <v>384</v>
      </c>
      <c r="B16" s="29" t="s">
        <v>311</v>
      </c>
      <c r="C16" s="37">
        <v>1</v>
      </c>
      <c r="D16" s="37"/>
      <c r="E16" s="37">
        <v>4</v>
      </c>
      <c r="F16" s="37">
        <v>5</v>
      </c>
      <c r="G16" s="37">
        <v>9</v>
      </c>
      <c r="H16" s="38">
        <f t="shared" si="0"/>
        <v>3.4090909090909087</v>
      </c>
      <c r="I16" s="37">
        <v>3</v>
      </c>
      <c r="J16" s="37">
        <v>46</v>
      </c>
      <c r="K16" s="38">
        <f t="shared" si="1"/>
        <v>3.6770583533173458</v>
      </c>
      <c r="L16" s="39"/>
      <c r="M16" s="29"/>
      <c r="N16" s="40"/>
    </row>
    <row r="17" spans="1:14" ht="15">
      <c r="A17" s="29" t="s">
        <v>385</v>
      </c>
      <c r="B17" s="29"/>
      <c r="C17" s="37">
        <v>3</v>
      </c>
      <c r="D17" s="37"/>
      <c r="E17" s="37">
        <v>13</v>
      </c>
      <c r="F17" s="37">
        <v>11</v>
      </c>
      <c r="G17" s="37">
        <v>24</v>
      </c>
      <c r="H17" s="38">
        <f t="shared" si="0"/>
        <v>9.090909090909092</v>
      </c>
      <c r="I17" s="37">
        <v>7</v>
      </c>
      <c r="J17" s="37">
        <v>49</v>
      </c>
      <c r="K17" s="38">
        <f t="shared" si="1"/>
        <v>3.9168665067945643</v>
      </c>
      <c r="L17" s="39"/>
      <c r="M17" s="29"/>
      <c r="N17" s="35"/>
    </row>
    <row r="18" spans="1:14" ht="15">
      <c r="A18" s="29" t="s">
        <v>386</v>
      </c>
      <c r="B18" s="29" t="s">
        <v>387</v>
      </c>
      <c r="C18" s="37">
        <v>1</v>
      </c>
      <c r="D18" s="37"/>
      <c r="E18" s="37">
        <v>4</v>
      </c>
      <c r="F18" s="37">
        <v>3</v>
      </c>
      <c r="G18" s="37">
        <v>7</v>
      </c>
      <c r="H18" s="38">
        <f t="shared" si="0"/>
        <v>2.6515151515151514</v>
      </c>
      <c r="I18" s="37">
        <v>1</v>
      </c>
      <c r="J18" s="37">
        <v>7</v>
      </c>
      <c r="K18" s="38">
        <f t="shared" si="1"/>
        <v>0.5595523581135092</v>
      </c>
      <c r="L18" s="39"/>
      <c r="M18" s="29"/>
      <c r="N18" s="35"/>
    </row>
    <row r="19" spans="1:14" s="6" customFormat="1" ht="15">
      <c r="A19" s="29" t="s">
        <v>388</v>
      </c>
      <c r="B19" s="29" t="s">
        <v>354</v>
      </c>
      <c r="C19" s="37">
        <v>1</v>
      </c>
      <c r="D19" s="37"/>
      <c r="E19" s="37">
        <v>0</v>
      </c>
      <c r="F19" s="37">
        <v>1</v>
      </c>
      <c r="G19" s="37">
        <v>1</v>
      </c>
      <c r="H19" s="38">
        <f t="shared" si="0"/>
        <v>0.3787878787878788</v>
      </c>
      <c r="I19" s="37">
        <v>2</v>
      </c>
      <c r="J19" s="37">
        <v>1</v>
      </c>
      <c r="K19" s="38">
        <f t="shared" si="1"/>
        <v>0.07993605115907274</v>
      </c>
      <c r="L19" s="39"/>
      <c r="M19" s="29"/>
      <c r="N19" s="35"/>
    </row>
    <row r="20" spans="1:14" ht="15">
      <c r="A20" s="29" t="s">
        <v>389</v>
      </c>
      <c r="B20" s="29" t="s">
        <v>358</v>
      </c>
      <c r="C20" s="37">
        <v>2</v>
      </c>
      <c r="D20" s="37"/>
      <c r="E20" s="37">
        <v>3</v>
      </c>
      <c r="F20" s="37">
        <v>4</v>
      </c>
      <c r="G20" s="37">
        <v>7</v>
      </c>
      <c r="H20" s="38">
        <f t="shared" si="0"/>
        <v>2.6515151515151514</v>
      </c>
      <c r="I20" s="37">
        <v>6</v>
      </c>
      <c r="J20" s="37">
        <v>27</v>
      </c>
      <c r="K20" s="38">
        <f t="shared" si="1"/>
        <v>2.158273381294964</v>
      </c>
      <c r="L20" s="39"/>
      <c r="M20" s="29"/>
      <c r="N20" s="35"/>
    </row>
    <row r="21" spans="1:14" s="6" customFormat="1" ht="15">
      <c r="A21" s="29" t="s">
        <v>390</v>
      </c>
      <c r="B21" s="29" t="s">
        <v>289</v>
      </c>
      <c r="C21" s="37">
        <v>1</v>
      </c>
      <c r="D21" s="37">
        <v>1</v>
      </c>
      <c r="E21" s="37">
        <v>0</v>
      </c>
      <c r="F21" s="37">
        <v>0</v>
      </c>
      <c r="G21" s="37">
        <v>0</v>
      </c>
      <c r="H21" s="38">
        <f t="shared" si="0"/>
        <v>0</v>
      </c>
      <c r="I21" s="37">
        <v>3</v>
      </c>
      <c r="J21" s="37">
        <v>17</v>
      </c>
      <c r="K21" s="38">
        <f t="shared" si="1"/>
        <v>1.3589128697042365</v>
      </c>
      <c r="L21" s="39"/>
      <c r="M21" s="29"/>
      <c r="N21" s="35"/>
    </row>
    <row r="22" spans="1:14" ht="15">
      <c r="A22" s="29" t="s">
        <v>391</v>
      </c>
      <c r="B22" s="29" t="s">
        <v>392</v>
      </c>
      <c r="C22" s="37">
        <v>1</v>
      </c>
      <c r="D22" s="37"/>
      <c r="E22" s="37">
        <v>6</v>
      </c>
      <c r="F22" s="37">
        <v>3</v>
      </c>
      <c r="G22" s="37">
        <v>9</v>
      </c>
      <c r="H22" s="38">
        <f t="shared" si="0"/>
        <v>3.4090909090909087</v>
      </c>
      <c r="I22" s="37">
        <v>1</v>
      </c>
      <c r="J22" s="37">
        <v>9</v>
      </c>
      <c r="K22" s="38">
        <f t="shared" si="1"/>
        <v>0.7194244604316548</v>
      </c>
      <c r="L22" s="39" t="s">
        <v>393</v>
      </c>
      <c r="M22" s="29"/>
      <c r="N22" s="35"/>
    </row>
    <row r="23" spans="1:14" ht="15">
      <c r="A23" s="29" t="s">
        <v>394</v>
      </c>
      <c r="B23" s="29" t="s">
        <v>360</v>
      </c>
      <c r="C23" s="37">
        <v>1</v>
      </c>
      <c r="D23" s="37"/>
      <c r="E23" s="37">
        <v>7</v>
      </c>
      <c r="F23" s="37">
        <v>2</v>
      </c>
      <c r="G23" s="37">
        <v>9</v>
      </c>
      <c r="H23" s="38">
        <f t="shared" si="0"/>
        <v>3.4090909090909087</v>
      </c>
      <c r="I23" s="37">
        <v>5</v>
      </c>
      <c r="J23" s="37">
        <v>23</v>
      </c>
      <c r="K23" s="38">
        <f t="shared" si="1"/>
        <v>1.8385291766586729</v>
      </c>
      <c r="L23" s="39"/>
      <c r="M23" s="29"/>
      <c r="N23" s="35"/>
    </row>
    <row r="24" spans="1:14" ht="15">
      <c r="A24" s="29" t="s">
        <v>395</v>
      </c>
      <c r="B24" s="29" t="s">
        <v>363</v>
      </c>
      <c r="C24" s="37">
        <v>1</v>
      </c>
      <c r="D24" s="37"/>
      <c r="E24" s="37">
        <v>3</v>
      </c>
      <c r="F24" s="37">
        <v>5</v>
      </c>
      <c r="G24" s="37">
        <v>8</v>
      </c>
      <c r="H24" s="38">
        <f t="shared" si="0"/>
        <v>3.0303030303030303</v>
      </c>
      <c r="I24" s="37">
        <v>2</v>
      </c>
      <c r="J24" s="37">
        <v>14</v>
      </c>
      <c r="K24" s="38">
        <f t="shared" si="1"/>
        <v>1.1191047162270185</v>
      </c>
      <c r="L24" s="39"/>
      <c r="M24" s="29"/>
      <c r="N24" s="35"/>
    </row>
    <row r="25" spans="1:14" ht="15">
      <c r="A25" s="29" t="s">
        <v>396</v>
      </c>
      <c r="B25" s="29" t="s">
        <v>317</v>
      </c>
      <c r="C25" s="37">
        <v>1</v>
      </c>
      <c r="D25" s="37"/>
      <c r="E25" s="37">
        <v>5</v>
      </c>
      <c r="F25" s="37">
        <v>5</v>
      </c>
      <c r="G25" s="37">
        <v>10</v>
      </c>
      <c r="H25" s="38">
        <f t="shared" si="0"/>
        <v>3.787878787878788</v>
      </c>
      <c r="I25" s="37">
        <f>'1999'!C33+'2002'!C25</f>
        <v>2</v>
      </c>
      <c r="J25" s="37">
        <f>'1999'!G33+'2002'!G25</f>
        <v>16</v>
      </c>
      <c r="K25" s="38">
        <f t="shared" si="1"/>
        <v>1.2789768185451638</v>
      </c>
      <c r="L25" s="39"/>
      <c r="M25" s="29"/>
      <c r="N25" s="35"/>
    </row>
    <row r="26" spans="1:14" ht="15">
      <c r="A26" s="29" t="s">
        <v>397</v>
      </c>
      <c r="B26" s="29" t="s">
        <v>218</v>
      </c>
      <c r="C26" s="37">
        <v>1</v>
      </c>
      <c r="D26" s="37"/>
      <c r="E26" s="37">
        <v>0</v>
      </c>
      <c r="F26" s="37">
        <v>1</v>
      </c>
      <c r="G26" s="37">
        <v>1</v>
      </c>
      <c r="H26" s="38">
        <f t="shared" si="0"/>
        <v>0.3787878787878788</v>
      </c>
      <c r="I26" s="37">
        <v>2</v>
      </c>
      <c r="J26" s="37">
        <v>33</v>
      </c>
      <c r="K26" s="38">
        <f t="shared" si="1"/>
        <v>2.6378896882494005</v>
      </c>
      <c r="L26" s="39"/>
      <c r="M26" s="29"/>
      <c r="N26" s="35"/>
    </row>
    <row r="27" spans="1:14" ht="15">
      <c r="A27" s="29" t="s">
        <v>242</v>
      </c>
      <c r="B27" s="29" t="s">
        <v>243</v>
      </c>
      <c r="C27" s="37">
        <v>1</v>
      </c>
      <c r="D27" s="37"/>
      <c r="E27" s="37">
        <v>2</v>
      </c>
      <c r="F27" s="37">
        <v>5</v>
      </c>
      <c r="G27" s="37">
        <v>7</v>
      </c>
      <c r="H27" s="38">
        <f t="shared" si="0"/>
        <v>2.6515151515151514</v>
      </c>
      <c r="I27" s="37">
        <v>1</v>
      </c>
      <c r="J27" s="37">
        <v>7</v>
      </c>
      <c r="K27" s="38">
        <f t="shared" si="1"/>
        <v>0.5595523581135092</v>
      </c>
      <c r="L27" s="39"/>
      <c r="M27" s="29"/>
      <c r="N27" s="35"/>
    </row>
    <row r="28" spans="1:14" ht="15">
      <c r="A28" s="1" t="s">
        <v>8</v>
      </c>
      <c r="B28" s="29"/>
      <c r="C28" s="42">
        <f aca="true" t="shared" si="2" ref="C28:H28">SUM(C3:C27)</f>
        <v>44</v>
      </c>
      <c r="D28" s="42">
        <f t="shared" si="2"/>
        <v>3</v>
      </c>
      <c r="E28" s="42">
        <f t="shared" si="2"/>
        <v>131</v>
      </c>
      <c r="F28" s="42">
        <f t="shared" si="2"/>
        <v>133</v>
      </c>
      <c r="G28" s="42">
        <f t="shared" si="2"/>
        <v>264</v>
      </c>
      <c r="H28" s="38">
        <f t="shared" si="2"/>
        <v>100</v>
      </c>
      <c r="I28" s="38"/>
      <c r="J28" s="37"/>
      <c r="K28" s="43" t="s">
        <v>180</v>
      </c>
      <c r="L28" s="37">
        <v>1251</v>
      </c>
      <c r="M28" s="29"/>
      <c r="N28" s="35"/>
    </row>
    <row r="29" spans="1:14" ht="15">
      <c r="A29" s="1" t="s">
        <v>51</v>
      </c>
      <c r="B29" s="31">
        <f>(4*23)*41/64</f>
        <v>58.9375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29"/>
      <c r="N29" s="35"/>
    </row>
    <row r="30" ht="12.75">
      <c r="N30" s="35"/>
    </row>
    <row r="31" spans="2:14" ht="15">
      <c r="B31" s="31">
        <f>B29/41*50</f>
        <v>71.875</v>
      </c>
      <c r="N31" s="35"/>
    </row>
    <row r="32" ht="12.75">
      <c r="N32" s="35"/>
    </row>
    <row r="33" spans="1:14" ht="12.75">
      <c r="A33" s="2"/>
      <c r="N33" s="40"/>
    </row>
    <row r="34" ht="12.75">
      <c r="N34" s="40"/>
    </row>
    <row r="35" spans="1:14" ht="15">
      <c r="A35" s="29" t="s">
        <v>366</v>
      </c>
      <c r="G35" s="32">
        <f>SUM(G4+G8+G9+G22+(G5/5))</f>
        <v>47.4</v>
      </c>
      <c r="H35" s="33">
        <f>G35/G28*100</f>
        <v>17.954545454545453</v>
      </c>
      <c r="N35" s="35"/>
    </row>
    <row r="36" spans="1:14" ht="15">
      <c r="A36" s="29" t="s">
        <v>367</v>
      </c>
      <c r="H36" s="33">
        <f>100-H35</f>
        <v>82.04545454545455</v>
      </c>
      <c r="N36" s="35"/>
    </row>
    <row r="37" ht="12.75">
      <c r="N37" s="35"/>
    </row>
    <row r="38" ht="12.75">
      <c r="N38" s="35"/>
    </row>
    <row r="39" ht="12.75">
      <c r="N39" s="35"/>
    </row>
    <row r="40" ht="12.75">
      <c r="N40" s="35"/>
    </row>
    <row r="44" ht="12.75">
      <c r="N44" s="35"/>
    </row>
    <row r="45" ht="12.75">
      <c r="N45" s="35"/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 gridLines="1"/>
  <pageMargins left="0.19652777777777777" right="0.19652777777777777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zoomScalePageLayoutView="0" workbookViewId="0" topLeftCell="A1">
      <selection activeCell="H36" sqref="H36"/>
    </sheetView>
  </sheetViews>
  <sheetFormatPr defaultColWidth="9.140625" defaultRowHeight="12.75"/>
  <cols>
    <col min="1" max="1" width="30.57421875" style="0" customWidth="1"/>
    <col min="2" max="2" width="15.00390625" style="44" customWidth="1"/>
    <col min="3" max="3" width="7.28125" style="0" customWidth="1"/>
    <col min="4" max="4" width="6.140625" style="0" customWidth="1"/>
    <col min="5" max="5" width="8.28125" style="0" customWidth="1"/>
    <col min="6" max="6" width="8.00390625" style="0" customWidth="1"/>
    <col min="7" max="8" width="10.7109375" style="0" customWidth="1"/>
    <col min="9" max="9" width="10.421875" style="0" customWidth="1"/>
    <col min="10" max="10" width="11.28125" style="0" customWidth="1"/>
    <col min="11" max="11" width="11.8515625" style="0" customWidth="1"/>
    <col min="12" max="12" width="11.7109375" style="0" customWidth="1"/>
    <col min="14" max="14" width="9.140625" style="34" customWidth="1"/>
  </cols>
  <sheetData>
    <row r="1" spans="1:14" ht="12.75" customHeight="1">
      <c r="A1" s="22" t="s">
        <v>0</v>
      </c>
      <c r="B1" s="45">
        <v>2003</v>
      </c>
      <c r="C1" s="97" t="s">
        <v>4</v>
      </c>
      <c r="D1" s="98" t="s">
        <v>368</v>
      </c>
      <c r="E1" s="97" t="s">
        <v>6</v>
      </c>
      <c r="F1" s="97" t="s">
        <v>7</v>
      </c>
      <c r="I1" s="97" t="s">
        <v>294</v>
      </c>
      <c r="J1" s="97" t="s">
        <v>295</v>
      </c>
      <c r="K1" s="97" t="s">
        <v>322</v>
      </c>
      <c r="L1" s="99" t="s">
        <v>13</v>
      </c>
      <c r="N1" s="35"/>
    </row>
    <row r="2" spans="1:14" s="28" customFormat="1" ht="15.75" customHeight="1">
      <c r="A2" s="24" t="s">
        <v>398</v>
      </c>
      <c r="B2" s="24" t="s">
        <v>3</v>
      </c>
      <c r="C2" s="97"/>
      <c r="D2" s="98"/>
      <c r="E2" s="97"/>
      <c r="F2" s="97"/>
      <c r="G2" s="26" t="s">
        <v>8</v>
      </c>
      <c r="H2" s="26" t="s">
        <v>9</v>
      </c>
      <c r="I2" s="97"/>
      <c r="J2" s="97"/>
      <c r="K2" s="97"/>
      <c r="L2" s="99"/>
      <c r="N2" s="36"/>
    </row>
    <row r="3" spans="1:14" ht="15">
      <c r="A3" s="29" t="s">
        <v>399</v>
      </c>
      <c r="B3" s="39" t="s">
        <v>400</v>
      </c>
      <c r="C3" s="37">
        <v>1</v>
      </c>
      <c r="D3" s="37"/>
      <c r="E3" s="37">
        <v>2</v>
      </c>
      <c r="F3" s="37">
        <v>3</v>
      </c>
      <c r="G3" s="37">
        <v>5</v>
      </c>
      <c r="H3" s="38">
        <f aca="true" t="shared" si="0" ref="H3:H27">($G3/$G$30)*100</f>
        <v>2.0491803278688523</v>
      </c>
      <c r="I3" s="37">
        <v>1</v>
      </c>
      <c r="J3" s="37">
        <v>5</v>
      </c>
      <c r="K3" s="38">
        <f aca="true" t="shared" si="1" ref="K3:K27">($J3/$L$30)*100</f>
        <v>0.4280821917808219</v>
      </c>
      <c r="L3" s="39" t="s">
        <v>180</v>
      </c>
      <c r="M3" s="29"/>
      <c r="N3" s="35"/>
    </row>
    <row r="4" spans="1:14" ht="15">
      <c r="A4" s="29" t="s">
        <v>401</v>
      </c>
      <c r="B4" s="39" t="s">
        <v>402</v>
      </c>
      <c r="C4" s="37">
        <v>3</v>
      </c>
      <c r="D4" s="37"/>
      <c r="E4" s="37">
        <v>7</v>
      </c>
      <c r="F4" s="37">
        <v>8</v>
      </c>
      <c r="G4" s="37">
        <v>15</v>
      </c>
      <c r="H4" s="38">
        <f t="shared" si="0"/>
        <v>6.147540983606557</v>
      </c>
      <c r="I4" s="37">
        <v>10</v>
      </c>
      <c r="J4" s="37">
        <v>50</v>
      </c>
      <c r="K4" s="38">
        <f t="shared" si="1"/>
        <v>4.280821917808219</v>
      </c>
      <c r="L4" s="39"/>
      <c r="M4" s="29"/>
      <c r="N4" s="35"/>
    </row>
    <row r="5" spans="1:14" ht="15">
      <c r="A5" s="29" t="s">
        <v>80</v>
      </c>
      <c r="B5" s="39" t="s">
        <v>374</v>
      </c>
      <c r="C5" s="37">
        <v>1</v>
      </c>
      <c r="D5" s="37"/>
      <c r="E5" s="37">
        <v>4</v>
      </c>
      <c r="F5" s="37">
        <v>3</v>
      </c>
      <c r="G5" s="37">
        <v>7</v>
      </c>
      <c r="H5" s="38">
        <f t="shared" si="0"/>
        <v>2.8688524590163933</v>
      </c>
      <c r="I5" s="37">
        <v>3</v>
      </c>
      <c r="J5" s="37">
        <v>14</v>
      </c>
      <c r="K5" s="38">
        <f t="shared" si="1"/>
        <v>1.1986301369863013</v>
      </c>
      <c r="L5" s="39"/>
      <c r="M5" s="29"/>
      <c r="N5" s="40"/>
    </row>
    <row r="6" spans="1:14" ht="15">
      <c r="A6" s="29" t="s">
        <v>403</v>
      </c>
      <c r="B6" s="39" t="s">
        <v>404</v>
      </c>
      <c r="C6" s="37">
        <v>1</v>
      </c>
      <c r="D6" s="37"/>
      <c r="E6" s="37">
        <v>4</v>
      </c>
      <c r="F6" s="37">
        <v>4</v>
      </c>
      <c r="G6" s="37">
        <v>8</v>
      </c>
      <c r="H6" s="38">
        <f t="shared" si="0"/>
        <v>3.278688524590164</v>
      </c>
      <c r="I6" s="37">
        <v>1</v>
      </c>
      <c r="J6" s="37">
        <v>8</v>
      </c>
      <c r="K6" s="38">
        <f t="shared" si="1"/>
        <v>0.684931506849315</v>
      </c>
      <c r="L6" s="39" t="s">
        <v>371</v>
      </c>
      <c r="M6" s="29"/>
      <c r="N6" s="40"/>
    </row>
    <row r="7" spans="1:14" ht="15">
      <c r="A7" s="29" t="s">
        <v>57</v>
      </c>
      <c r="B7" s="39" t="s">
        <v>231</v>
      </c>
      <c r="C7" s="37">
        <v>1</v>
      </c>
      <c r="D7" s="37"/>
      <c r="E7" s="37">
        <v>1</v>
      </c>
      <c r="F7" s="37">
        <v>1</v>
      </c>
      <c r="G7" s="37">
        <v>2</v>
      </c>
      <c r="H7" s="38">
        <f t="shared" si="0"/>
        <v>0.819672131147541</v>
      </c>
      <c r="I7" s="37">
        <v>6</v>
      </c>
      <c r="J7" s="37">
        <v>39</v>
      </c>
      <c r="K7" s="38">
        <f t="shared" si="1"/>
        <v>3.339041095890411</v>
      </c>
      <c r="L7" s="39" t="s">
        <v>371</v>
      </c>
      <c r="M7" s="29"/>
      <c r="N7" s="41"/>
    </row>
    <row r="8" spans="1:14" ht="15">
      <c r="A8" s="29" t="s">
        <v>405</v>
      </c>
      <c r="B8" s="39" t="s">
        <v>404</v>
      </c>
      <c r="C8" s="37">
        <v>2</v>
      </c>
      <c r="D8" s="37"/>
      <c r="E8" s="37">
        <v>8</v>
      </c>
      <c r="F8" s="37">
        <v>5</v>
      </c>
      <c r="G8" s="37">
        <v>13</v>
      </c>
      <c r="H8" s="38">
        <f t="shared" si="0"/>
        <v>5.327868852459016</v>
      </c>
      <c r="I8" s="37">
        <v>2</v>
      </c>
      <c r="J8" s="37">
        <v>13</v>
      </c>
      <c r="K8" s="38">
        <f t="shared" si="1"/>
        <v>1.1130136986301369</v>
      </c>
      <c r="L8" s="39"/>
      <c r="M8" s="29"/>
      <c r="N8" s="35"/>
    </row>
    <row r="9" spans="1:14" ht="15">
      <c r="A9" s="29" t="s">
        <v>406</v>
      </c>
      <c r="B9" s="39" t="s">
        <v>407</v>
      </c>
      <c r="C9" s="37">
        <v>1</v>
      </c>
      <c r="D9" s="37"/>
      <c r="E9" s="37">
        <v>2</v>
      </c>
      <c r="F9" s="37">
        <v>3</v>
      </c>
      <c r="G9" s="37">
        <v>5</v>
      </c>
      <c r="H9" s="38">
        <f t="shared" si="0"/>
        <v>2.0491803278688523</v>
      </c>
      <c r="I9" s="37">
        <v>1</v>
      </c>
      <c r="J9" s="37">
        <v>5</v>
      </c>
      <c r="K9" s="38">
        <f t="shared" si="1"/>
        <v>0.4280821917808219</v>
      </c>
      <c r="L9" s="39" t="s">
        <v>371</v>
      </c>
      <c r="M9" s="29"/>
      <c r="N9" s="35"/>
    </row>
    <row r="10" spans="1:14" ht="15">
      <c r="A10" s="29" t="s">
        <v>408</v>
      </c>
      <c r="B10" s="39" t="s">
        <v>377</v>
      </c>
      <c r="C10" s="37">
        <v>1</v>
      </c>
      <c r="D10" s="37"/>
      <c r="E10" s="37">
        <v>2</v>
      </c>
      <c r="F10" s="37">
        <v>1</v>
      </c>
      <c r="G10" s="37">
        <v>3</v>
      </c>
      <c r="H10" s="38">
        <f t="shared" si="0"/>
        <v>1.2295081967213115</v>
      </c>
      <c r="I10" s="37">
        <v>6</v>
      </c>
      <c r="J10" s="37">
        <v>39</v>
      </c>
      <c r="K10" s="38">
        <f t="shared" si="1"/>
        <v>3.339041095890411</v>
      </c>
      <c r="L10" s="39" t="s">
        <v>180</v>
      </c>
      <c r="M10" s="29"/>
      <c r="N10" s="35"/>
    </row>
    <row r="11" spans="1:14" ht="15">
      <c r="A11" s="29" t="s">
        <v>409</v>
      </c>
      <c r="B11" s="39" t="s">
        <v>303</v>
      </c>
      <c r="C11" s="37">
        <v>5</v>
      </c>
      <c r="D11" s="37">
        <v>2</v>
      </c>
      <c r="E11" s="37">
        <v>11</v>
      </c>
      <c r="F11" s="37">
        <v>11</v>
      </c>
      <c r="G11" s="37">
        <v>22</v>
      </c>
      <c r="H11" s="38">
        <f t="shared" si="0"/>
        <v>9.01639344262295</v>
      </c>
      <c r="I11" s="37">
        <v>10</v>
      </c>
      <c r="J11" s="37">
        <v>54</v>
      </c>
      <c r="K11" s="38">
        <f t="shared" si="1"/>
        <v>4.623287671232877</v>
      </c>
      <c r="L11" s="39"/>
      <c r="M11" s="29"/>
      <c r="N11" s="35"/>
    </row>
    <row r="12" spans="1:14" ht="15">
      <c r="A12" s="29" t="s">
        <v>410</v>
      </c>
      <c r="B12" s="39" t="s">
        <v>246</v>
      </c>
      <c r="C12" s="37">
        <v>3</v>
      </c>
      <c r="D12" s="37"/>
      <c r="E12" s="37">
        <v>11</v>
      </c>
      <c r="F12" s="37">
        <v>8</v>
      </c>
      <c r="G12" s="37">
        <v>19</v>
      </c>
      <c r="H12" s="38">
        <f t="shared" si="0"/>
        <v>7.786885245901639</v>
      </c>
      <c r="I12" s="37">
        <v>19</v>
      </c>
      <c r="J12" s="37">
        <v>111</v>
      </c>
      <c r="K12" s="38">
        <f t="shared" si="1"/>
        <v>9.503424657534246</v>
      </c>
      <c r="L12" s="39" t="s">
        <v>180</v>
      </c>
      <c r="M12" s="29"/>
      <c r="N12" s="35"/>
    </row>
    <row r="13" spans="1:14" ht="15">
      <c r="A13" s="29" t="s">
        <v>411</v>
      </c>
      <c r="B13" s="39" t="s">
        <v>348</v>
      </c>
      <c r="C13" s="37">
        <v>1</v>
      </c>
      <c r="D13" s="37">
        <v>1</v>
      </c>
      <c r="E13" s="37">
        <v>0</v>
      </c>
      <c r="F13" s="37">
        <v>0</v>
      </c>
      <c r="G13" s="37">
        <v>0</v>
      </c>
      <c r="H13" s="38">
        <f t="shared" si="0"/>
        <v>0</v>
      </c>
      <c r="I13" s="37">
        <v>2</v>
      </c>
      <c r="J13" s="37">
        <v>9</v>
      </c>
      <c r="K13" s="38">
        <f t="shared" si="1"/>
        <v>0.7705479452054794</v>
      </c>
      <c r="L13" s="39"/>
      <c r="M13" s="29"/>
      <c r="N13" s="35"/>
    </row>
    <row r="14" spans="1:14" ht="15">
      <c r="A14" s="29" t="s">
        <v>379</v>
      </c>
      <c r="B14" s="39" t="s">
        <v>412</v>
      </c>
      <c r="C14" s="37">
        <v>1</v>
      </c>
      <c r="D14" s="37"/>
      <c r="E14" s="37">
        <v>2</v>
      </c>
      <c r="F14" s="37">
        <v>2</v>
      </c>
      <c r="G14" s="37">
        <v>4</v>
      </c>
      <c r="H14" s="38">
        <f t="shared" si="0"/>
        <v>1.639344262295082</v>
      </c>
      <c r="I14" s="37">
        <v>3</v>
      </c>
      <c r="J14" s="37">
        <v>20</v>
      </c>
      <c r="K14" s="38">
        <f t="shared" si="1"/>
        <v>1.7123287671232876</v>
      </c>
      <c r="L14" s="39"/>
      <c r="M14" s="29"/>
      <c r="N14" s="35"/>
    </row>
    <row r="15" spans="1:14" ht="15">
      <c r="A15" s="29" t="s">
        <v>413</v>
      </c>
      <c r="B15" s="39" t="s">
        <v>414</v>
      </c>
      <c r="C15" s="37">
        <v>1</v>
      </c>
      <c r="D15" s="37"/>
      <c r="E15" s="37">
        <v>4</v>
      </c>
      <c r="F15" s="37">
        <v>4</v>
      </c>
      <c r="G15" s="37">
        <v>8</v>
      </c>
      <c r="H15" s="38">
        <f t="shared" si="0"/>
        <v>3.278688524590164</v>
      </c>
      <c r="I15" s="37">
        <v>1</v>
      </c>
      <c r="J15" s="37">
        <v>8</v>
      </c>
      <c r="K15" s="38">
        <f t="shared" si="1"/>
        <v>0.684931506849315</v>
      </c>
      <c r="L15" s="39" t="s">
        <v>371</v>
      </c>
      <c r="M15" s="29"/>
      <c r="N15" s="35"/>
    </row>
    <row r="16" spans="1:14" s="6" customFormat="1" ht="15">
      <c r="A16" s="29" t="s">
        <v>415</v>
      </c>
      <c r="B16" s="39" t="s">
        <v>404</v>
      </c>
      <c r="C16" s="37">
        <v>1</v>
      </c>
      <c r="D16" s="37"/>
      <c r="E16" s="37">
        <v>4</v>
      </c>
      <c r="F16" s="37">
        <v>3</v>
      </c>
      <c r="G16" s="37">
        <v>7</v>
      </c>
      <c r="H16" s="38">
        <f t="shared" si="0"/>
        <v>2.8688524590163933</v>
      </c>
      <c r="I16" s="37">
        <v>2</v>
      </c>
      <c r="J16" s="37">
        <v>14</v>
      </c>
      <c r="K16" s="38">
        <f t="shared" si="1"/>
        <v>1.1986301369863013</v>
      </c>
      <c r="L16" s="39"/>
      <c r="M16" s="29"/>
      <c r="N16" s="40"/>
    </row>
    <row r="17" spans="1:14" ht="15">
      <c r="A17" s="29" t="s">
        <v>416</v>
      </c>
      <c r="B17" s="39" t="s">
        <v>311</v>
      </c>
      <c r="C17" s="37">
        <v>3</v>
      </c>
      <c r="D17" s="37"/>
      <c r="E17" s="37">
        <v>17</v>
      </c>
      <c r="F17" s="37">
        <v>9</v>
      </c>
      <c r="G17" s="37">
        <v>26</v>
      </c>
      <c r="H17" s="38">
        <f t="shared" si="0"/>
        <v>10.655737704918032</v>
      </c>
      <c r="I17" s="37">
        <v>8</v>
      </c>
      <c r="J17" s="37">
        <v>72</v>
      </c>
      <c r="K17" s="38">
        <f t="shared" si="1"/>
        <v>6.164383561643835</v>
      </c>
      <c r="L17" s="39"/>
      <c r="M17" s="29"/>
      <c r="N17" s="35"/>
    </row>
    <row r="18" spans="1:14" ht="15">
      <c r="A18" s="29" t="s">
        <v>417</v>
      </c>
      <c r="B18" s="39" t="s">
        <v>418</v>
      </c>
      <c r="C18" s="37">
        <v>1</v>
      </c>
      <c r="D18" s="37"/>
      <c r="E18" s="37">
        <v>3</v>
      </c>
      <c r="F18" s="37">
        <v>3</v>
      </c>
      <c r="G18" s="37">
        <v>6</v>
      </c>
      <c r="H18" s="38">
        <f t="shared" si="0"/>
        <v>2.459016393442623</v>
      </c>
      <c r="I18" s="37">
        <v>1</v>
      </c>
      <c r="J18" s="37">
        <v>6</v>
      </c>
      <c r="K18" s="38">
        <f t="shared" si="1"/>
        <v>0.5136986301369862</v>
      </c>
      <c r="L18" s="39" t="s">
        <v>371</v>
      </c>
      <c r="M18" s="29"/>
      <c r="N18" s="35"/>
    </row>
    <row r="19" spans="1:14" s="6" customFormat="1" ht="15">
      <c r="A19" s="29" t="s">
        <v>419</v>
      </c>
      <c r="B19" s="39" t="s">
        <v>420</v>
      </c>
      <c r="C19" s="37">
        <v>1</v>
      </c>
      <c r="D19" s="37"/>
      <c r="E19" s="37">
        <v>3</v>
      </c>
      <c r="F19" s="37">
        <v>3</v>
      </c>
      <c r="G19" s="37">
        <v>6</v>
      </c>
      <c r="H19" s="38">
        <f t="shared" si="0"/>
        <v>2.459016393442623</v>
      </c>
      <c r="I19" s="37">
        <v>2</v>
      </c>
      <c r="J19" s="37">
        <v>13</v>
      </c>
      <c r="K19" s="38">
        <f t="shared" si="1"/>
        <v>1.1130136986301369</v>
      </c>
      <c r="L19" s="39"/>
      <c r="M19" s="29"/>
      <c r="N19" s="35"/>
    </row>
    <row r="20" spans="1:14" ht="15">
      <c r="A20" s="29" t="s">
        <v>388</v>
      </c>
      <c r="B20" s="39" t="s">
        <v>354</v>
      </c>
      <c r="C20" s="37">
        <v>1</v>
      </c>
      <c r="D20" s="37">
        <v>1</v>
      </c>
      <c r="E20" s="37">
        <v>0</v>
      </c>
      <c r="F20" s="37">
        <v>0</v>
      </c>
      <c r="G20" s="37">
        <v>0</v>
      </c>
      <c r="H20" s="38">
        <f t="shared" si="0"/>
        <v>0</v>
      </c>
      <c r="I20" s="37">
        <v>2</v>
      </c>
      <c r="J20" s="37">
        <v>1</v>
      </c>
      <c r="K20" s="38">
        <f t="shared" si="1"/>
        <v>0.08561643835616438</v>
      </c>
      <c r="L20" s="39"/>
      <c r="M20" s="29"/>
      <c r="N20" s="35"/>
    </row>
    <row r="21" spans="1:14" s="6" customFormat="1" ht="15">
      <c r="A21" s="29" t="s">
        <v>421</v>
      </c>
      <c r="B21" s="39" t="s">
        <v>358</v>
      </c>
      <c r="C21" s="37">
        <v>1</v>
      </c>
      <c r="D21" s="37"/>
      <c r="E21" s="37">
        <v>5</v>
      </c>
      <c r="F21" s="37">
        <v>3</v>
      </c>
      <c r="G21" s="37">
        <v>8</v>
      </c>
      <c r="H21" s="38">
        <f t="shared" si="0"/>
        <v>3.278688524590164</v>
      </c>
      <c r="I21" s="37">
        <v>7</v>
      </c>
      <c r="J21" s="37">
        <v>35</v>
      </c>
      <c r="K21" s="38">
        <f t="shared" si="1"/>
        <v>2.996575342465753</v>
      </c>
      <c r="L21" s="39"/>
      <c r="M21" s="29"/>
      <c r="N21" s="35"/>
    </row>
    <row r="22" spans="1:14" s="6" customFormat="1" ht="15">
      <c r="A22" s="29" t="s">
        <v>422</v>
      </c>
      <c r="B22" s="39" t="s">
        <v>423</v>
      </c>
      <c r="C22" s="37">
        <v>1</v>
      </c>
      <c r="D22" s="37"/>
      <c r="E22" s="37">
        <v>5</v>
      </c>
      <c r="F22" s="37">
        <v>0</v>
      </c>
      <c r="G22" s="37">
        <v>5</v>
      </c>
      <c r="H22" s="38">
        <f t="shared" si="0"/>
        <v>2.0491803278688523</v>
      </c>
      <c r="I22" s="37">
        <v>1</v>
      </c>
      <c r="J22" s="37">
        <v>5</v>
      </c>
      <c r="K22" s="38">
        <f t="shared" si="1"/>
        <v>0.4280821917808219</v>
      </c>
      <c r="L22" s="39"/>
      <c r="M22" s="29"/>
      <c r="N22" s="35"/>
    </row>
    <row r="23" spans="1:14" s="6" customFormat="1" ht="15">
      <c r="A23" s="29" t="s">
        <v>424</v>
      </c>
      <c r="B23" s="39" t="s">
        <v>425</v>
      </c>
      <c r="C23" s="37">
        <v>1</v>
      </c>
      <c r="D23" s="37"/>
      <c r="E23" s="37">
        <v>4</v>
      </c>
      <c r="F23" s="37">
        <v>4</v>
      </c>
      <c r="G23" s="37">
        <v>8</v>
      </c>
      <c r="H23" s="38">
        <f t="shared" si="0"/>
        <v>3.278688524590164</v>
      </c>
      <c r="I23" s="37">
        <v>1</v>
      </c>
      <c r="J23" s="37">
        <v>8</v>
      </c>
      <c r="K23" s="38">
        <f t="shared" si="1"/>
        <v>0.684931506849315</v>
      </c>
      <c r="L23" s="39"/>
      <c r="M23" s="29"/>
      <c r="N23" s="35"/>
    </row>
    <row r="24" spans="1:14" s="6" customFormat="1" ht="15">
      <c r="A24" s="29" t="s">
        <v>391</v>
      </c>
      <c r="B24" s="39" t="s">
        <v>426</v>
      </c>
      <c r="C24" s="37">
        <v>2</v>
      </c>
      <c r="D24" s="37"/>
      <c r="E24" s="37">
        <v>6</v>
      </c>
      <c r="F24" s="37">
        <v>9</v>
      </c>
      <c r="G24" s="37">
        <v>15</v>
      </c>
      <c r="H24" s="38">
        <f t="shared" si="0"/>
        <v>6.147540983606557</v>
      </c>
      <c r="I24" s="37">
        <v>2</v>
      </c>
      <c r="J24" s="37">
        <v>15</v>
      </c>
      <c r="K24" s="38">
        <f t="shared" si="1"/>
        <v>1.2842465753424657</v>
      </c>
      <c r="L24" s="39" t="s">
        <v>371</v>
      </c>
      <c r="M24" s="29"/>
      <c r="N24" s="35"/>
    </row>
    <row r="25" spans="1:14" s="6" customFormat="1" ht="15">
      <c r="A25" s="29" t="s">
        <v>427</v>
      </c>
      <c r="B25" s="39" t="s">
        <v>360</v>
      </c>
      <c r="C25" s="37">
        <v>4</v>
      </c>
      <c r="D25" s="37"/>
      <c r="E25" s="37">
        <v>19</v>
      </c>
      <c r="F25" s="37">
        <v>19</v>
      </c>
      <c r="G25" s="37">
        <v>38</v>
      </c>
      <c r="H25" s="38">
        <f t="shared" si="0"/>
        <v>15.573770491803279</v>
      </c>
      <c r="I25" s="37">
        <v>9</v>
      </c>
      <c r="J25" s="37">
        <v>61</v>
      </c>
      <c r="K25" s="38">
        <f t="shared" si="1"/>
        <v>5.222602739726027</v>
      </c>
      <c r="L25" s="39" t="s">
        <v>180</v>
      </c>
      <c r="M25" s="29"/>
      <c r="N25" s="35"/>
    </row>
    <row r="26" spans="1:14" s="6" customFormat="1" ht="15">
      <c r="A26" s="29" t="s">
        <v>428</v>
      </c>
      <c r="B26" s="39" t="s">
        <v>218</v>
      </c>
      <c r="C26" s="37">
        <v>2</v>
      </c>
      <c r="D26" s="37">
        <v>1</v>
      </c>
      <c r="E26" s="37">
        <v>5</v>
      </c>
      <c r="F26" s="37">
        <v>4</v>
      </c>
      <c r="G26" s="37">
        <v>9</v>
      </c>
      <c r="H26" s="38">
        <f t="shared" si="0"/>
        <v>3.6885245901639343</v>
      </c>
      <c r="I26" s="37">
        <v>7</v>
      </c>
      <c r="J26" s="37">
        <v>44</v>
      </c>
      <c r="K26" s="38">
        <f t="shared" si="1"/>
        <v>3.767123287671233</v>
      </c>
      <c r="L26" s="39" t="s">
        <v>180</v>
      </c>
      <c r="M26" s="29"/>
      <c r="N26" s="35"/>
    </row>
    <row r="27" spans="1:14" s="6" customFormat="1" ht="15">
      <c r="A27" s="29" t="s">
        <v>429</v>
      </c>
      <c r="B27" s="39" t="s">
        <v>365</v>
      </c>
      <c r="C27" s="37">
        <v>1</v>
      </c>
      <c r="D27" s="37"/>
      <c r="E27" s="37">
        <v>1</v>
      </c>
      <c r="F27" s="37">
        <v>4</v>
      </c>
      <c r="G27" s="37">
        <v>5</v>
      </c>
      <c r="H27" s="38">
        <f t="shared" si="0"/>
        <v>2.0491803278688523</v>
      </c>
      <c r="I27" s="37">
        <v>1</v>
      </c>
      <c r="J27" s="37">
        <v>5</v>
      </c>
      <c r="K27" s="38">
        <f t="shared" si="1"/>
        <v>0.4280821917808219</v>
      </c>
      <c r="L27" s="39"/>
      <c r="M27" s="29"/>
      <c r="N27" s="35"/>
    </row>
    <row r="28" spans="1:14" s="6" customFormat="1" ht="15">
      <c r="A28" s="29"/>
      <c r="B28" s="39"/>
      <c r="C28" s="37"/>
      <c r="D28" s="37"/>
      <c r="E28" s="37"/>
      <c r="F28" s="37"/>
      <c r="G28" s="37"/>
      <c r="H28" s="38"/>
      <c r="I28" s="37"/>
      <c r="J28" s="37"/>
      <c r="K28" s="38"/>
      <c r="L28" s="39"/>
      <c r="M28" s="29"/>
      <c r="N28" s="35"/>
    </row>
    <row r="29" spans="1:14" ht="15">
      <c r="A29" s="29"/>
      <c r="B29" s="39"/>
      <c r="C29" s="37"/>
      <c r="D29" s="37"/>
      <c r="E29" s="37"/>
      <c r="F29" s="37"/>
      <c r="G29" s="37"/>
      <c r="I29" s="37"/>
      <c r="J29" s="37"/>
      <c r="K29" s="43" t="s">
        <v>180</v>
      </c>
      <c r="L29" s="39"/>
      <c r="M29" s="29"/>
      <c r="N29" s="35"/>
    </row>
    <row r="30" spans="1:14" ht="15">
      <c r="A30" s="1" t="s">
        <v>8</v>
      </c>
      <c r="B30" s="39"/>
      <c r="C30" s="42">
        <f>SUM(C3:C29)</f>
        <v>41</v>
      </c>
      <c r="D30" s="42">
        <f>SUM(D3:D29)</f>
        <v>5</v>
      </c>
      <c r="E30" s="42">
        <f>SUM(E3:E29)</f>
        <v>130</v>
      </c>
      <c r="F30" s="42">
        <f>SUM(F3:F29)</f>
        <v>114</v>
      </c>
      <c r="G30" s="42">
        <f>SUM(G3:G29)</f>
        <v>244</v>
      </c>
      <c r="H30" s="38">
        <f>SUM(H3:H27)</f>
        <v>100</v>
      </c>
      <c r="L30" s="37">
        <v>1168</v>
      </c>
      <c r="M30" s="29"/>
      <c r="N30" s="35"/>
    </row>
    <row r="31" spans="1:14" ht="15">
      <c r="A31" s="1" t="s">
        <v>51</v>
      </c>
      <c r="B31" s="46">
        <f>(4*25)*41/60</f>
        <v>68.33333333333333</v>
      </c>
      <c r="C31" s="37"/>
      <c r="D31" s="37"/>
      <c r="E31" s="37"/>
      <c r="F31" s="37"/>
      <c r="G31" s="37"/>
      <c r="L31" s="37"/>
      <c r="M31" s="29"/>
      <c r="N31" s="35"/>
    </row>
    <row r="32" ht="12.75">
      <c r="N32" s="35"/>
    </row>
    <row r="33" spans="2:14" ht="15">
      <c r="B33" s="46">
        <f>B31/41*50</f>
        <v>83.33333333333333</v>
      </c>
      <c r="N33" s="35"/>
    </row>
    <row r="34" ht="12.75">
      <c r="N34" s="35"/>
    </row>
    <row r="35" spans="1:14" ht="15">
      <c r="A35" s="29" t="s">
        <v>430</v>
      </c>
      <c r="G35" s="29">
        <f>G6+G7+G9+G15+G18+G24</f>
        <v>44</v>
      </c>
      <c r="H35" s="47">
        <f>G35/G30*100</f>
        <v>18.0327868852459</v>
      </c>
      <c r="N35" s="40"/>
    </row>
    <row r="36" spans="1:14" ht="15">
      <c r="A36" s="29" t="s">
        <v>340</v>
      </c>
      <c r="H36" s="47">
        <f>100-H35</f>
        <v>81.9672131147541</v>
      </c>
      <c r="N36" s="40"/>
    </row>
    <row r="37" spans="1:14" ht="15">
      <c r="A37" s="29"/>
      <c r="H37" s="47"/>
      <c r="N37" s="35"/>
    </row>
    <row r="38" ht="12.75">
      <c r="N38" s="35"/>
    </row>
    <row r="39" ht="12.75">
      <c r="N39" s="35"/>
    </row>
    <row r="40" ht="12.75">
      <c r="N40" s="35"/>
    </row>
    <row r="41" ht="12.75">
      <c r="N41" s="35"/>
    </row>
    <row r="42" ht="12.75">
      <c r="N42" s="35"/>
    </row>
    <row r="46" ht="12.75">
      <c r="N46" s="35"/>
    </row>
    <row r="47" ht="12.75">
      <c r="N47" s="35"/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 gridLines="1"/>
  <pageMargins left="0.19652777777777777" right="0.19652777777777777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20.8515625" style="0" customWidth="1"/>
    <col min="2" max="2" width="10.7109375" style="0" customWidth="1"/>
    <col min="11" max="11" width="11.8515625" style="0" customWidth="1"/>
    <col min="12" max="12" width="14.57421875" style="0" customWidth="1"/>
  </cols>
  <sheetData>
    <row r="1" spans="1:12" ht="12.75" customHeight="1">
      <c r="A1" s="2" t="s">
        <v>0</v>
      </c>
      <c r="B1" s="48">
        <v>2004</v>
      </c>
      <c r="C1" s="100" t="s">
        <v>4</v>
      </c>
      <c r="D1" s="101" t="s">
        <v>368</v>
      </c>
      <c r="E1" s="100" t="s">
        <v>6</v>
      </c>
      <c r="F1" s="100" t="s">
        <v>7</v>
      </c>
      <c r="G1" s="2"/>
      <c r="H1" s="2"/>
      <c r="I1" s="100" t="s">
        <v>294</v>
      </c>
      <c r="J1" s="100" t="s">
        <v>295</v>
      </c>
      <c r="K1" s="100" t="s">
        <v>322</v>
      </c>
      <c r="L1" s="102" t="s">
        <v>13</v>
      </c>
    </row>
    <row r="2" spans="1:12" ht="13.5" customHeight="1">
      <c r="A2" s="49" t="s">
        <v>431</v>
      </c>
      <c r="B2" s="49" t="s">
        <v>3</v>
      </c>
      <c r="C2" s="100"/>
      <c r="D2" s="101"/>
      <c r="E2" s="100"/>
      <c r="F2" s="100"/>
      <c r="G2" s="2" t="s">
        <v>8</v>
      </c>
      <c r="H2" s="2" t="s">
        <v>9</v>
      </c>
      <c r="I2" s="100"/>
      <c r="J2" s="100"/>
      <c r="K2" s="100"/>
      <c r="L2" s="102"/>
    </row>
    <row r="3" spans="1:11" ht="12.75">
      <c r="A3" t="s">
        <v>432</v>
      </c>
      <c r="B3" t="s">
        <v>402</v>
      </c>
      <c r="C3" s="50">
        <v>3</v>
      </c>
      <c r="D3" s="50">
        <v>0</v>
      </c>
      <c r="E3" s="50">
        <v>10</v>
      </c>
      <c r="F3" s="50">
        <v>16</v>
      </c>
      <c r="G3" s="50">
        <f aca="true" t="shared" si="0" ref="G3:G26">SUM(E3:F3)</f>
        <v>26</v>
      </c>
      <c r="H3" s="51">
        <f aca="true" t="shared" si="1" ref="H3:H29">(G3/$G$30)*100</f>
        <v>8.695652173913043</v>
      </c>
      <c r="I3" s="50">
        <f>'2001'!C4+'2002'!C5+'2003'!C4+'2004'!C3</f>
        <v>12</v>
      </c>
      <c r="J3" s="50">
        <f>'2001'!G4+'2002'!G5+'2003'!G4+'2004'!G3</f>
        <v>82</v>
      </c>
      <c r="K3" s="52">
        <f aca="true" t="shared" si="2" ref="K3:K26">(J3/$K$31)*100</f>
        <v>6.765676567656766</v>
      </c>
    </row>
    <row r="4" spans="1:11" ht="12.75">
      <c r="A4" t="s">
        <v>433</v>
      </c>
      <c r="B4" t="s">
        <v>434</v>
      </c>
      <c r="C4" s="50">
        <v>1</v>
      </c>
      <c r="D4" s="50">
        <v>0</v>
      </c>
      <c r="E4" s="50">
        <v>2</v>
      </c>
      <c r="F4" s="50">
        <v>7</v>
      </c>
      <c r="G4" s="50">
        <f t="shared" si="0"/>
        <v>9</v>
      </c>
      <c r="H4" s="51">
        <f t="shared" si="1"/>
        <v>3.0100334448160537</v>
      </c>
      <c r="I4" s="50">
        <v>1</v>
      </c>
      <c r="J4" s="50">
        <v>9</v>
      </c>
      <c r="K4" s="53">
        <f t="shared" si="2"/>
        <v>0.7425742574257426</v>
      </c>
    </row>
    <row r="5" spans="1:11" ht="12.75">
      <c r="A5" t="s">
        <v>114</v>
      </c>
      <c r="C5" s="50">
        <v>1</v>
      </c>
      <c r="D5" s="50">
        <v>1</v>
      </c>
      <c r="E5" s="50">
        <v>0</v>
      </c>
      <c r="F5" s="50">
        <v>0</v>
      </c>
      <c r="G5" s="50">
        <f t="shared" si="0"/>
        <v>0</v>
      </c>
      <c r="H5" s="51">
        <f t="shared" si="1"/>
        <v>0</v>
      </c>
      <c r="I5" s="50">
        <v>1</v>
      </c>
      <c r="J5" s="50">
        <v>0</v>
      </c>
      <c r="K5" s="53">
        <f t="shared" si="2"/>
        <v>0</v>
      </c>
    </row>
    <row r="6" spans="1:11" ht="12.75">
      <c r="A6" t="s">
        <v>435</v>
      </c>
      <c r="B6" t="s">
        <v>436</v>
      </c>
      <c r="C6" s="50">
        <v>1</v>
      </c>
      <c r="D6" s="50">
        <v>0</v>
      </c>
      <c r="E6" s="50">
        <v>1</v>
      </c>
      <c r="F6" s="50">
        <v>1</v>
      </c>
      <c r="G6" s="50">
        <f t="shared" si="0"/>
        <v>2</v>
      </c>
      <c r="H6" s="51">
        <f t="shared" si="1"/>
        <v>0.6688963210702341</v>
      </c>
      <c r="I6" s="50">
        <v>1</v>
      </c>
      <c r="J6" s="50">
        <v>2</v>
      </c>
      <c r="K6" s="53">
        <f t="shared" si="2"/>
        <v>0.16501650165016502</v>
      </c>
    </row>
    <row r="7" spans="1:11" ht="12.75">
      <c r="A7" t="s">
        <v>437</v>
      </c>
      <c r="B7" t="s">
        <v>438</v>
      </c>
      <c r="C7" s="50">
        <v>1</v>
      </c>
      <c r="D7" s="50">
        <v>0</v>
      </c>
      <c r="E7" s="50">
        <v>3</v>
      </c>
      <c r="F7" s="50">
        <v>3</v>
      </c>
      <c r="G7" s="50">
        <f t="shared" si="0"/>
        <v>6</v>
      </c>
      <c r="H7" s="51">
        <f t="shared" si="1"/>
        <v>2.0066889632107023</v>
      </c>
      <c r="I7" s="50">
        <v>1</v>
      </c>
      <c r="J7" s="50">
        <v>6</v>
      </c>
      <c r="K7" s="53">
        <f t="shared" si="2"/>
        <v>0.49504950495049505</v>
      </c>
    </row>
    <row r="8" spans="1:11" ht="12.75">
      <c r="A8" t="s">
        <v>408</v>
      </c>
      <c r="B8" t="s">
        <v>377</v>
      </c>
      <c r="C8" s="50">
        <v>2</v>
      </c>
      <c r="D8" s="50">
        <v>0</v>
      </c>
      <c r="E8" s="50">
        <v>7</v>
      </c>
      <c r="F8" s="50">
        <v>9</v>
      </c>
      <c r="G8" s="50">
        <f t="shared" si="0"/>
        <v>16</v>
      </c>
      <c r="H8" s="51">
        <f t="shared" si="1"/>
        <v>5.351170568561873</v>
      </c>
      <c r="I8" s="50">
        <f>'2002'!C10+'2003'!C10+'2004'!C8</f>
        <v>8</v>
      </c>
      <c r="J8" s="50">
        <f>'2002'!G10+'2003'!G10+'2004'!G8</f>
        <v>56</v>
      </c>
      <c r="K8" s="53">
        <f t="shared" si="2"/>
        <v>4.62046204620462</v>
      </c>
    </row>
    <row r="9" spans="1:11" ht="12.75">
      <c r="A9" t="s">
        <v>439</v>
      </c>
      <c r="B9" t="s">
        <v>440</v>
      </c>
      <c r="C9" s="50">
        <v>3</v>
      </c>
      <c r="D9" s="50">
        <v>1</v>
      </c>
      <c r="E9" s="50">
        <v>5</v>
      </c>
      <c r="F9" s="50">
        <v>8</v>
      </c>
      <c r="G9" s="50">
        <f t="shared" si="0"/>
        <v>13</v>
      </c>
      <c r="H9" s="51">
        <f t="shared" si="1"/>
        <v>4.3478260869565215</v>
      </c>
      <c r="I9" s="50">
        <v>3</v>
      </c>
      <c r="J9" s="50">
        <v>13</v>
      </c>
      <c r="K9" s="53">
        <f t="shared" si="2"/>
        <v>1.0726072607260726</v>
      </c>
    </row>
    <row r="10" spans="1:11" ht="12.75">
      <c r="A10" t="s">
        <v>441</v>
      </c>
      <c r="B10" t="s">
        <v>442</v>
      </c>
      <c r="C10" s="50">
        <v>2</v>
      </c>
      <c r="D10" s="50">
        <v>1</v>
      </c>
      <c r="E10" s="50">
        <v>1</v>
      </c>
      <c r="F10" s="50">
        <v>0</v>
      </c>
      <c r="G10" s="50">
        <f t="shared" si="0"/>
        <v>1</v>
      </c>
      <c r="H10" s="51">
        <f t="shared" si="1"/>
        <v>0.33444816053511706</v>
      </c>
      <c r="I10" s="50">
        <v>3</v>
      </c>
      <c r="J10" s="50">
        <v>1</v>
      </c>
      <c r="K10" s="53">
        <f t="shared" si="2"/>
        <v>0.08250825082508251</v>
      </c>
    </row>
    <row r="11" spans="1:11" ht="12.75">
      <c r="A11" t="s">
        <v>443</v>
      </c>
      <c r="B11" t="s">
        <v>303</v>
      </c>
      <c r="C11" s="50">
        <v>3</v>
      </c>
      <c r="D11" s="50">
        <v>0</v>
      </c>
      <c r="E11" s="50">
        <v>10</v>
      </c>
      <c r="F11" s="50">
        <v>4</v>
      </c>
      <c r="G11" s="50">
        <f t="shared" si="0"/>
        <v>14</v>
      </c>
      <c r="H11" s="51">
        <f t="shared" si="1"/>
        <v>4.682274247491638</v>
      </c>
      <c r="I11" s="50">
        <f>'2000'!C11+'2001'!C10+'2002'!C11+'2003'!C11+'2004'!C11</f>
        <v>15</v>
      </c>
      <c r="J11" s="50">
        <f>'2000'!G11+'2001'!G10+'2002'!G11+'2003'!G11+'2004'!G11</f>
        <v>81</v>
      </c>
      <c r="K11" s="52">
        <f t="shared" si="2"/>
        <v>6.683168316831684</v>
      </c>
    </row>
    <row r="12" spans="1:11" ht="12.75">
      <c r="A12" t="s">
        <v>411</v>
      </c>
      <c r="B12" t="s">
        <v>348</v>
      </c>
      <c r="C12" s="50">
        <v>1</v>
      </c>
      <c r="D12" s="50">
        <v>0</v>
      </c>
      <c r="E12" s="50">
        <v>3</v>
      </c>
      <c r="F12" s="50">
        <v>4</v>
      </c>
      <c r="G12" s="50">
        <f t="shared" si="0"/>
        <v>7</v>
      </c>
      <c r="H12" s="51">
        <f t="shared" si="1"/>
        <v>2.341137123745819</v>
      </c>
      <c r="I12" s="50">
        <f>'2001'!C12+'2003'!C13+'2004'!C12</f>
        <v>3</v>
      </c>
      <c r="J12" s="50">
        <f>'2001'!G12+'2003'!G13+'2004'!G12</f>
        <v>16</v>
      </c>
      <c r="K12" s="53">
        <f t="shared" si="2"/>
        <v>1.3201320132013201</v>
      </c>
    </row>
    <row r="13" spans="1:11" ht="12.75">
      <c r="A13" t="s">
        <v>444</v>
      </c>
      <c r="B13" t="s">
        <v>351</v>
      </c>
      <c r="C13" s="50">
        <v>2</v>
      </c>
      <c r="D13" s="50">
        <v>0</v>
      </c>
      <c r="E13" s="50">
        <v>7</v>
      </c>
      <c r="F13" s="50">
        <v>10</v>
      </c>
      <c r="G13" s="50">
        <f t="shared" si="0"/>
        <v>17</v>
      </c>
      <c r="H13" s="51">
        <f t="shared" si="1"/>
        <v>5.68561872909699</v>
      </c>
      <c r="I13" s="50">
        <f>'2001'!C14+'2002'!C13+'2004'!C13</f>
        <v>4</v>
      </c>
      <c r="J13" s="50">
        <f>'2001'!G14+'2002'!G13+'2004'!G13</f>
        <v>31</v>
      </c>
      <c r="K13" s="53">
        <f t="shared" si="2"/>
        <v>2.557755775577558</v>
      </c>
    </row>
    <row r="14" spans="1:11" ht="12.75">
      <c r="A14" t="s">
        <v>445</v>
      </c>
      <c r="B14" t="s">
        <v>446</v>
      </c>
      <c r="C14" s="50">
        <v>1</v>
      </c>
      <c r="D14" s="50">
        <v>0</v>
      </c>
      <c r="E14" s="50">
        <v>4</v>
      </c>
      <c r="F14" s="50">
        <v>4</v>
      </c>
      <c r="G14" s="50">
        <f t="shared" si="0"/>
        <v>8</v>
      </c>
      <c r="H14" s="51">
        <f t="shared" si="1"/>
        <v>2.6755852842809364</v>
      </c>
      <c r="I14" s="50">
        <f>'2002'!C15+'2004'!C16+'2004'!C14</f>
        <v>4</v>
      </c>
      <c r="J14" s="50">
        <f>'2002'!G15+'2003'!G16+'2004'!G14</f>
        <v>22</v>
      </c>
      <c r="K14" s="53">
        <f t="shared" si="2"/>
        <v>1.8151815181518154</v>
      </c>
    </row>
    <row r="15" spans="1:11" ht="12.75">
      <c r="A15" t="s">
        <v>419</v>
      </c>
      <c r="B15" t="s">
        <v>420</v>
      </c>
      <c r="C15" s="50">
        <v>1</v>
      </c>
      <c r="D15" s="50">
        <v>0</v>
      </c>
      <c r="E15" s="50">
        <v>1</v>
      </c>
      <c r="F15" s="50">
        <v>0</v>
      </c>
      <c r="G15" s="50">
        <f t="shared" si="0"/>
        <v>1</v>
      </c>
      <c r="H15" s="51">
        <f t="shared" si="1"/>
        <v>0.33444816053511706</v>
      </c>
      <c r="I15" s="50">
        <f>'2002'!C18+'2003'!C19+'2004'!C15</f>
        <v>3</v>
      </c>
      <c r="J15" s="50">
        <v>15</v>
      </c>
      <c r="K15" s="53">
        <f t="shared" si="2"/>
        <v>1.2376237623762376</v>
      </c>
    </row>
    <row r="16" spans="1:11" ht="12.75">
      <c r="A16" t="s">
        <v>198</v>
      </c>
      <c r="B16" t="s">
        <v>199</v>
      </c>
      <c r="C16" s="50">
        <v>2</v>
      </c>
      <c r="D16" s="50">
        <v>0</v>
      </c>
      <c r="E16" s="50">
        <v>5</v>
      </c>
      <c r="F16" s="50">
        <v>5</v>
      </c>
      <c r="G16" s="50">
        <f t="shared" si="0"/>
        <v>10</v>
      </c>
      <c r="H16" s="51">
        <f t="shared" si="1"/>
        <v>3.3444816053511706</v>
      </c>
      <c r="I16" s="50">
        <v>1</v>
      </c>
      <c r="J16" s="50">
        <v>8</v>
      </c>
      <c r="K16" s="53">
        <f t="shared" si="2"/>
        <v>0.6600660066006601</v>
      </c>
    </row>
    <row r="17" spans="1:11" ht="12.75">
      <c r="A17" t="s">
        <v>421</v>
      </c>
      <c r="B17" t="s">
        <v>358</v>
      </c>
      <c r="C17" s="50">
        <v>2</v>
      </c>
      <c r="D17" s="50">
        <v>0</v>
      </c>
      <c r="E17" s="50">
        <v>6</v>
      </c>
      <c r="F17" s="50">
        <v>7</v>
      </c>
      <c r="G17" s="50">
        <f t="shared" si="0"/>
        <v>13</v>
      </c>
      <c r="H17" s="51">
        <f t="shared" si="1"/>
        <v>4.3478260869565215</v>
      </c>
      <c r="I17" s="50">
        <f>'2001'!C21+'2002'!C20+'2003'!C21+'2004'!C17</f>
        <v>9</v>
      </c>
      <c r="J17" s="50">
        <f>'2001'!G21+'2002'!G20+'2003'!G21+'2004'!G17</f>
        <v>48</v>
      </c>
      <c r="K17" s="53">
        <f t="shared" si="2"/>
        <v>3.9603960396039604</v>
      </c>
    </row>
    <row r="18" spans="1:11" ht="12.75">
      <c r="A18" t="s">
        <v>447</v>
      </c>
      <c r="B18" t="s">
        <v>423</v>
      </c>
      <c r="C18" s="50">
        <v>2</v>
      </c>
      <c r="D18" s="50">
        <v>1</v>
      </c>
      <c r="E18" s="50">
        <v>3</v>
      </c>
      <c r="F18" s="50">
        <v>0</v>
      </c>
      <c r="G18" s="50">
        <f t="shared" si="0"/>
        <v>3</v>
      </c>
      <c r="H18" s="51">
        <f t="shared" si="1"/>
        <v>1.0033444816053512</v>
      </c>
      <c r="I18" s="50">
        <f>'2003'!C22+'2004'!C18</f>
        <v>3</v>
      </c>
      <c r="J18" s="50">
        <f>'2003'!G22+'2004'!G18</f>
        <v>8</v>
      </c>
      <c r="K18" s="53">
        <f t="shared" si="2"/>
        <v>0.6600660066006601</v>
      </c>
    </row>
    <row r="19" spans="1:11" ht="12.75">
      <c r="A19" t="s">
        <v>448</v>
      </c>
      <c r="B19" t="s">
        <v>449</v>
      </c>
      <c r="C19" s="50">
        <v>1</v>
      </c>
      <c r="D19" s="50">
        <v>1</v>
      </c>
      <c r="E19" s="50">
        <v>0</v>
      </c>
      <c r="F19" s="50">
        <v>0</v>
      </c>
      <c r="G19" s="50">
        <f t="shared" si="0"/>
        <v>0</v>
      </c>
      <c r="H19" s="51">
        <f t="shared" si="1"/>
        <v>0</v>
      </c>
      <c r="I19" s="50">
        <v>1</v>
      </c>
      <c r="J19" s="50">
        <v>0</v>
      </c>
      <c r="K19" s="53">
        <f t="shared" si="2"/>
        <v>0</v>
      </c>
    </row>
    <row r="20" spans="1:11" ht="12.75">
      <c r="A20" t="s">
        <v>427</v>
      </c>
      <c r="B20" t="s">
        <v>360</v>
      </c>
      <c r="C20" s="50">
        <v>1</v>
      </c>
      <c r="D20" s="50">
        <v>0</v>
      </c>
      <c r="E20" s="50">
        <v>5</v>
      </c>
      <c r="F20" s="50">
        <v>2</v>
      </c>
      <c r="G20" s="50">
        <f t="shared" si="0"/>
        <v>7</v>
      </c>
      <c r="H20" s="51">
        <f t="shared" si="1"/>
        <v>2.341137123745819</v>
      </c>
      <c r="I20" s="50">
        <f>'2001'!C23+'2002'!C23+'2003'!C25+'2004'!C20</f>
        <v>10</v>
      </c>
      <c r="J20" s="50">
        <f>'2001'!G23+'2002'!G23+'2003'!G25+'2004'!G20</f>
        <v>85</v>
      </c>
      <c r="K20" s="52">
        <f t="shared" si="2"/>
        <v>7.013201320132014</v>
      </c>
    </row>
    <row r="21" spans="1:11" ht="12.75">
      <c r="A21" t="s">
        <v>450</v>
      </c>
      <c r="B21" t="s">
        <v>363</v>
      </c>
      <c r="C21" s="50">
        <v>3</v>
      </c>
      <c r="D21" s="50">
        <v>0</v>
      </c>
      <c r="E21" s="50">
        <v>9</v>
      </c>
      <c r="F21" s="50">
        <v>12</v>
      </c>
      <c r="G21" s="50">
        <f t="shared" si="0"/>
        <v>21</v>
      </c>
      <c r="H21" s="51">
        <f t="shared" si="1"/>
        <v>7.023411371237458</v>
      </c>
      <c r="I21" s="50">
        <f>'2001'!C24+'2002'!C24+'2004'!C21</f>
        <v>5</v>
      </c>
      <c r="J21" s="50">
        <f>'2001'!G24+'2002'!G24+'2004'!G21</f>
        <v>35</v>
      </c>
      <c r="K21" s="53">
        <f t="shared" si="2"/>
        <v>2.8877887788778875</v>
      </c>
    </row>
    <row r="22" spans="1:11" ht="12.75">
      <c r="A22" t="s">
        <v>451</v>
      </c>
      <c r="B22" t="s">
        <v>317</v>
      </c>
      <c r="C22" s="50">
        <v>1</v>
      </c>
      <c r="D22" s="50">
        <v>0</v>
      </c>
      <c r="E22" s="50">
        <v>2</v>
      </c>
      <c r="F22" s="50">
        <v>3</v>
      </c>
      <c r="G22" s="50">
        <f t="shared" si="0"/>
        <v>5</v>
      </c>
      <c r="H22" s="51">
        <f t="shared" si="1"/>
        <v>1.6722408026755853</v>
      </c>
      <c r="I22" s="50">
        <f>'2002'!C25+'2004'!C22</f>
        <v>2</v>
      </c>
      <c r="J22" s="50">
        <f>'2002'!G25+'2004'!G22</f>
        <v>15</v>
      </c>
      <c r="K22" s="53">
        <f t="shared" si="2"/>
        <v>1.2376237623762376</v>
      </c>
    </row>
    <row r="23" spans="1:11" ht="12.75">
      <c r="A23" t="s">
        <v>452</v>
      </c>
      <c r="B23" t="s">
        <v>365</v>
      </c>
      <c r="C23" s="50">
        <v>4</v>
      </c>
      <c r="D23" s="50">
        <v>0</v>
      </c>
      <c r="E23" s="50">
        <v>13</v>
      </c>
      <c r="F23" s="50">
        <v>8</v>
      </c>
      <c r="G23" s="50">
        <f t="shared" si="0"/>
        <v>21</v>
      </c>
      <c r="H23" s="51">
        <f t="shared" si="1"/>
        <v>7.023411371237458</v>
      </c>
      <c r="I23" s="50">
        <f>'2001'!C25+'2003'!C27+'2004'!C23</f>
        <v>6</v>
      </c>
      <c r="J23" s="50">
        <f>'2001'!G25+'2003'!G27+'2004'!G23</f>
        <v>31</v>
      </c>
      <c r="K23" s="53">
        <f t="shared" si="2"/>
        <v>2.557755775577558</v>
      </c>
    </row>
    <row r="24" spans="1:11" ht="12.75">
      <c r="A24" t="s">
        <v>453</v>
      </c>
      <c r="B24" t="s">
        <v>454</v>
      </c>
      <c r="C24" s="50">
        <v>1</v>
      </c>
      <c r="D24" s="50">
        <v>0</v>
      </c>
      <c r="E24" s="50">
        <v>4</v>
      </c>
      <c r="F24" s="50">
        <v>4</v>
      </c>
      <c r="G24" s="50">
        <f t="shared" si="0"/>
        <v>8</v>
      </c>
      <c r="H24" s="51">
        <f t="shared" si="1"/>
        <v>2.6755852842809364</v>
      </c>
      <c r="I24" s="50">
        <v>1</v>
      </c>
      <c r="J24" s="50">
        <v>8</v>
      </c>
      <c r="K24" s="53">
        <f t="shared" si="2"/>
        <v>0.6600660066006601</v>
      </c>
    </row>
    <row r="25" spans="1:11" ht="12.75">
      <c r="A25" t="s">
        <v>455</v>
      </c>
      <c r="B25" t="s">
        <v>456</v>
      </c>
      <c r="C25" s="50">
        <v>2</v>
      </c>
      <c r="D25" s="50">
        <v>0</v>
      </c>
      <c r="E25" s="50">
        <v>7</v>
      </c>
      <c r="F25" s="50">
        <v>7</v>
      </c>
      <c r="G25" s="50">
        <f t="shared" si="0"/>
        <v>14</v>
      </c>
      <c r="H25" s="51">
        <f t="shared" si="1"/>
        <v>4.682274247491638</v>
      </c>
      <c r="I25" s="50">
        <v>2</v>
      </c>
      <c r="J25" s="50">
        <v>14</v>
      </c>
      <c r="K25" s="53">
        <f t="shared" si="2"/>
        <v>1.155115511551155</v>
      </c>
    </row>
    <row r="26" spans="1:11" ht="12.75">
      <c r="A26" t="s">
        <v>457</v>
      </c>
      <c r="B26" t="s">
        <v>458</v>
      </c>
      <c r="C26" s="50">
        <v>1</v>
      </c>
      <c r="D26" s="50">
        <v>0</v>
      </c>
      <c r="E26" s="50">
        <v>5</v>
      </c>
      <c r="F26" s="50">
        <v>4</v>
      </c>
      <c r="G26" s="50">
        <f t="shared" si="0"/>
        <v>9</v>
      </c>
      <c r="H26" s="51">
        <f t="shared" si="1"/>
        <v>3.0100334448160537</v>
      </c>
      <c r="I26" s="50">
        <v>1</v>
      </c>
      <c r="J26" s="50">
        <v>9</v>
      </c>
      <c r="K26" s="53">
        <f t="shared" si="2"/>
        <v>0.7425742574257426</v>
      </c>
    </row>
    <row r="27" spans="3:11" ht="12.75">
      <c r="C27" s="50"/>
      <c r="D27" s="50"/>
      <c r="E27" s="50">
        <f>SUM(E3:E26)</f>
        <v>113</v>
      </c>
      <c r="F27" s="50">
        <f>SUM(F3:F26)</f>
        <v>118</v>
      </c>
      <c r="G27" s="50">
        <f>SUM(G3:G26)</f>
        <v>231</v>
      </c>
      <c r="H27" s="53">
        <f t="shared" si="1"/>
        <v>77.25752508361204</v>
      </c>
      <c r="I27" s="50"/>
      <c r="J27" s="50"/>
      <c r="K27" s="53"/>
    </row>
    <row r="28" spans="1:12" ht="12.75">
      <c r="A28" t="s">
        <v>459</v>
      </c>
      <c r="B28" t="s">
        <v>460</v>
      </c>
      <c r="C28" s="50">
        <v>10</v>
      </c>
      <c r="D28" s="50"/>
      <c r="E28" s="50">
        <v>31</v>
      </c>
      <c r="F28" s="50">
        <v>32</v>
      </c>
      <c r="G28" s="50">
        <f>E28+F28</f>
        <v>63</v>
      </c>
      <c r="H28" s="51">
        <f t="shared" si="1"/>
        <v>21.070234113712374</v>
      </c>
      <c r="L28" t="s">
        <v>461</v>
      </c>
    </row>
    <row r="29" spans="1:8" ht="12.75">
      <c r="A29" t="s">
        <v>462</v>
      </c>
      <c r="C29" s="50"/>
      <c r="D29" s="50"/>
      <c r="E29" s="50">
        <v>2</v>
      </c>
      <c r="F29" s="50">
        <v>3</v>
      </c>
      <c r="G29" s="50">
        <v>5</v>
      </c>
      <c r="H29" s="51">
        <f t="shared" si="1"/>
        <v>1.6722408026755853</v>
      </c>
    </row>
    <row r="30" spans="1:11" ht="12.75">
      <c r="A30" t="s">
        <v>8</v>
      </c>
      <c r="C30" s="50">
        <f>SUM(C3:C29)</f>
        <v>52</v>
      </c>
      <c r="D30" s="50">
        <f>SUM(D3:D29)</f>
        <v>5</v>
      </c>
      <c r="E30" s="50">
        <f>E27+E28+E29</f>
        <v>146</v>
      </c>
      <c r="F30" s="50">
        <f>F27+F28+F29</f>
        <v>153</v>
      </c>
      <c r="G30" s="50">
        <f>G27+G28+G29</f>
        <v>299</v>
      </c>
      <c r="H30" s="51">
        <f>SUM(H27:H29)</f>
        <v>100</v>
      </c>
      <c r="I30" s="50"/>
      <c r="J30" s="50"/>
      <c r="K30" s="50"/>
    </row>
    <row r="31" spans="1:11" ht="12.75">
      <c r="A31" t="s">
        <v>51</v>
      </c>
      <c r="B31" s="9">
        <f>(4*31*47)/78</f>
        <v>74.71794871794872</v>
      </c>
      <c r="C31" s="9">
        <f>B31/47*50</f>
        <v>79.48717948717949</v>
      </c>
      <c r="J31" t="s">
        <v>463</v>
      </c>
      <c r="K31" s="9">
        <f>'2000'!G19+'2001'!G26+'2002'!G28+'2003'!G30+'2004'!G30</f>
        <v>1212</v>
      </c>
    </row>
    <row r="33" spans="2:10" ht="12.75">
      <c r="B33" t="s">
        <v>464</v>
      </c>
      <c r="J33" t="s">
        <v>465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zoomScale="90" zoomScaleNormal="90" zoomScalePageLayoutView="0" workbookViewId="0" topLeftCell="A40">
      <selection activeCell="A25" sqref="A25"/>
    </sheetView>
  </sheetViews>
  <sheetFormatPr defaultColWidth="9.140625" defaultRowHeight="12.75"/>
  <cols>
    <col min="1" max="1" width="21.421875" style="0" customWidth="1"/>
    <col min="2" max="2" width="10.421875" style="0" customWidth="1"/>
    <col min="3" max="3" width="5.421875" style="0" customWidth="1"/>
    <col min="4" max="4" width="7.28125" style="0" customWidth="1"/>
    <col min="9" max="9" width="10.421875" style="0" customWidth="1"/>
    <col min="10" max="10" width="15.57421875" style="0" customWidth="1"/>
    <col min="11" max="11" width="11.8515625" style="0" customWidth="1"/>
    <col min="12" max="12" width="14.57421875" style="0" customWidth="1"/>
  </cols>
  <sheetData>
    <row r="1" spans="1:12" ht="12.75" customHeight="1">
      <c r="A1" s="2" t="s">
        <v>0</v>
      </c>
      <c r="B1" s="48">
        <v>2005</v>
      </c>
      <c r="C1" s="100" t="s">
        <v>4</v>
      </c>
      <c r="D1" s="101" t="s">
        <v>368</v>
      </c>
      <c r="E1" s="100" t="s">
        <v>6</v>
      </c>
      <c r="F1" s="100" t="s">
        <v>7</v>
      </c>
      <c r="G1" s="2"/>
      <c r="H1" s="2"/>
      <c r="I1" s="100" t="s">
        <v>294</v>
      </c>
      <c r="J1" s="100" t="s">
        <v>295</v>
      </c>
      <c r="K1" s="100" t="s">
        <v>322</v>
      </c>
      <c r="L1" s="102" t="s">
        <v>13</v>
      </c>
    </row>
    <row r="2" spans="1:12" ht="12.75">
      <c r="A2" s="49" t="s">
        <v>431</v>
      </c>
      <c r="B2" s="49" t="s">
        <v>3</v>
      </c>
      <c r="C2" s="100"/>
      <c r="D2" s="101"/>
      <c r="E2" s="100"/>
      <c r="F2" s="100"/>
      <c r="G2" s="2" t="s">
        <v>8</v>
      </c>
      <c r="H2" s="2" t="s">
        <v>9</v>
      </c>
      <c r="I2" s="100"/>
      <c r="J2" s="100"/>
      <c r="K2" s="100"/>
      <c r="L2" s="102"/>
    </row>
    <row r="4" spans="1:11" ht="12.75">
      <c r="A4" t="s">
        <v>433</v>
      </c>
      <c r="B4" t="s">
        <v>434</v>
      </c>
      <c r="C4" s="50"/>
      <c r="D4" s="50"/>
      <c r="E4" s="50"/>
      <c r="F4" s="50"/>
      <c r="G4" s="50">
        <f aca="true" t="shared" si="0" ref="G4:G32">SUM(E4:F4)</f>
        <v>0</v>
      </c>
      <c r="H4" s="51">
        <f aca="true" t="shared" si="1" ref="H4:H32">(G4/$G$45)*100</f>
        <v>0</v>
      </c>
      <c r="I4" s="50">
        <f>'2004'!I4+'2005'!C4</f>
        <v>1</v>
      </c>
      <c r="J4" s="50">
        <f>'2004'!J4+'2005'!G4</f>
        <v>9</v>
      </c>
      <c r="K4" s="53">
        <f aca="true" t="shared" si="2" ref="K4:K32">(J4/$K$47)*100</f>
        <v>0.6917755572636434</v>
      </c>
    </row>
    <row r="5" spans="1:11" ht="12.75">
      <c r="A5" t="s">
        <v>114</v>
      </c>
      <c r="C5" s="50"/>
      <c r="D5" s="50"/>
      <c r="E5" s="50"/>
      <c r="F5" s="50"/>
      <c r="G5" s="50">
        <f t="shared" si="0"/>
        <v>0</v>
      </c>
      <c r="H5" s="51">
        <f t="shared" si="1"/>
        <v>0</v>
      </c>
      <c r="I5" s="50">
        <f>'2004'!I4+'2005'!C5</f>
        <v>1</v>
      </c>
      <c r="J5" s="50">
        <f>'2004'!J5+'2005'!G5</f>
        <v>0</v>
      </c>
      <c r="K5" s="53">
        <f t="shared" si="2"/>
        <v>0</v>
      </c>
    </row>
    <row r="6" spans="1:11" ht="12.75">
      <c r="A6" t="s">
        <v>435</v>
      </c>
      <c r="B6" t="s">
        <v>436</v>
      </c>
      <c r="C6" s="50"/>
      <c r="D6" s="50"/>
      <c r="E6" s="50"/>
      <c r="F6" s="50"/>
      <c r="G6" s="50">
        <f t="shared" si="0"/>
        <v>0</v>
      </c>
      <c r="H6" s="51">
        <f t="shared" si="1"/>
        <v>0</v>
      </c>
      <c r="I6" s="50">
        <f>'2004'!I6+'2005'!C6</f>
        <v>1</v>
      </c>
      <c r="J6" s="50">
        <f>'2004'!J6+'2005'!G6</f>
        <v>2</v>
      </c>
      <c r="K6" s="53">
        <f t="shared" si="2"/>
        <v>0.15372790161414296</v>
      </c>
    </row>
    <row r="7" spans="1:11" ht="12.75">
      <c r="A7" s="54" t="s">
        <v>466</v>
      </c>
      <c r="B7" s="54" t="s">
        <v>467</v>
      </c>
      <c r="C7" s="50">
        <v>3</v>
      </c>
      <c r="D7" s="50">
        <v>0</v>
      </c>
      <c r="E7" s="50">
        <v>8</v>
      </c>
      <c r="F7" s="50">
        <v>10</v>
      </c>
      <c r="G7" s="50">
        <f t="shared" si="0"/>
        <v>18</v>
      </c>
      <c r="H7" s="51">
        <f t="shared" si="1"/>
        <v>7.627118644067797</v>
      </c>
      <c r="I7" s="50">
        <f>C7</f>
        <v>3</v>
      </c>
      <c r="J7" s="50">
        <f>G7</f>
        <v>18</v>
      </c>
      <c r="K7" s="53">
        <f t="shared" si="2"/>
        <v>1.3835511145272867</v>
      </c>
    </row>
    <row r="8" spans="1:11" ht="12.75">
      <c r="A8" t="s">
        <v>432</v>
      </c>
      <c r="B8" t="s">
        <v>402</v>
      </c>
      <c r="C8" s="50">
        <v>1</v>
      </c>
      <c r="D8" s="50">
        <v>0</v>
      </c>
      <c r="E8" s="50">
        <v>3</v>
      </c>
      <c r="F8" s="50">
        <v>3</v>
      </c>
      <c r="G8" s="50">
        <f t="shared" si="0"/>
        <v>6</v>
      </c>
      <c r="H8" s="51">
        <f t="shared" si="1"/>
        <v>2.5423728813559325</v>
      </c>
      <c r="I8" s="50">
        <f>'2001'!C4+'2002'!C5+'2003'!C4+'2004'!C3+'2005'!C8</f>
        <v>13</v>
      </c>
      <c r="J8" s="50">
        <f>'2001'!G4+'2002'!G5+'2003'!G4+'2004'!G3+'2005'!G8</f>
        <v>88</v>
      </c>
      <c r="K8" s="52">
        <f t="shared" si="2"/>
        <v>6.764027671022291</v>
      </c>
    </row>
    <row r="9" spans="1:11" ht="12.75">
      <c r="A9" s="54" t="s">
        <v>468</v>
      </c>
      <c r="B9" s="54" t="s">
        <v>469</v>
      </c>
      <c r="C9" s="50">
        <v>2</v>
      </c>
      <c r="D9" s="50">
        <v>0</v>
      </c>
      <c r="E9" s="50">
        <v>12</v>
      </c>
      <c r="F9" s="50">
        <v>10</v>
      </c>
      <c r="G9" s="50">
        <f t="shared" si="0"/>
        <v>22</v>
      </c>
      <c r="H9" s="51">
        <f t="shared" si="1"/>
        <v>9.322033898305085</v>
      </c>
      <c r="I9" s="50">
        <f>C9</f>
        <v>2</v>
      </c>
      <c r="J9" s="50">
        <f>G9</f>
        <v>22</v>
      </c>
      <c r="K9" s="53">
        <f t="shared" si="2"/>
        <v>1.6910069177555727</v>
      </c>
    </row>
    <row r="10" spans="1:11" ht="12.75">
      <c r="A10" t="s">
        <v>437</v>
      </c>
      <c r="B10" t="s">
        <v>438</v>
      </c>
      <c r="C10" s="50">
        <v>2</v>
      </c>
      <c r="D10" s="50">
        <v>0</v>
      </c>
      <c r="E10" s="50">
        <v>7</v>
      </c>
      <c r="F10" s="50">
        <v>5</v>
      </c>
      <c r="G10" s="50">
        <f t="shared" si="0"/>
        <v>12</v>
      </c>
      <c r="H10" s="51">
        <f t="shared" si="1"/>
        <v>5.084745762711865</v>
      </c>
      <c r="I10" s="50">
        <f>'2004'!I7+'2005'!C10</f>
        <v>3</v>
      </c>
      <c r="J10" s="50">
        <f>'2004'!J7+'2005'!G10</f>
        <v>18</v>
      </c>
      <c r="K10" s="53">
        <f t="shared" si="2"/>
        <v>1.3835511145272867</v>
      </c>
    </row>
    <row r="11" spans="1:11" ht="12.75">
      <c r="A11" t="s">
        <v>408</v>
      </c>
      <c r="B11" t="s">
        <v>377</v>
      </c>
      <c r="C11" s="50">
        <v>1</v>
      </c>
      <c r="D11" s="50">
        <v>0</v>
      </c>
      <c r="E11" s="50">
        <v>6</v>
      </c>
      <c r="F11" s="50">
        <v>3</v>
      </c>
      <c r="G11" s="50">
        <f t="shared" si="0"/>
        <v>9</v>
      </c>
      <c r="H11" s="51">
        <f t="shared" si="1"/>
        <v>3.8135593220338984</v>
      </c>
      <c r="I11" s="50">
        <f>'2002'!C10+'2003'!C10+'2004'!C8+'2005'!C11</f>
        <v>9</v>
      </c>
      <c r="J11" s="50">
        <f>'2002'!G10+'2003'!G10+'2004'!G8+'2005'!G11</f>
        <v>65</v>
      </c>
      <c r="K11" s="53">
        <f t="shared" si="2"/>
        <v>4.996156802459646</v>
      </c>
    </row>
    <row r="12" spans="1:11" ht="12.75">
      <c r="A12" t="s">
        <v>439</v>
      </c>
      <c r="B12" t="s">
        <v>440</v>
      </c>
      <c r="C12" s="50">
        <v>3</v>
      </c>
      <c r="D12" s="50">
        <v>0</v>
      </c>
      <c r="E12" s="50">
        <v>14</v>
      </c>
      <c r="F12" s="50">
        <v>2</v>
      </c>
      <c r="G12" s="50">
        <f t="shared" si="0"/>
        <v>16</v>
      </c>
      <c r="H12" s="51">
        <f t="shared" si="1"/>
        <v>6.779661016949152</v>
      </c>
      <c r="I12" s="50">
        <f>'2004'!C9+'2005'!C12</f>
        <v>6</v>
      </c>
      <c r="J12" s="50">
        <f>'2004'!G9+'2005'!G12</f>
        <v>29</v>
      </c>
      <c r="K12" s="53">
        <f t="shared" si="2"/>
        <v>2.2290545734050733</v>
      </c>
    </row>
    <row r="13" spans="1:12" ht="12.75">
      <c r="A13" t="s">
        <v>441</v>
      </c>
      <c r="B13" t="s">
        <v>442</v>
      </c>
      <c r="C13" s="50">
        <v>1</v>
      </c>
      <c r="D13" s="50"/>
      <c r="E13" s="50">
        <v>3</v>
      </c>
      <c r="F13" s="50">
        <v>2</v>
      </c>
      <c r="G13" s="50">
        <f t="shared" si="0"/>
        <v>5</v>
      </c>
      <c r="H13" s="51">
        <f t="shared" si="1"/>
        <v>2.11864406779661</v>
      </c>
      <c r="I13" s="50">
        <v>3</v>
      </c>
      <c r="J13" s="50">
        <v>1</v>
      </c>
      <c r="K13" s="53">
        <f t="shared" si="2"/>
        <v>0.07686395080707148</v>
      </c>
      <c r="L13" t="s">
        <v>470</v>
      </c>
    </row>
    <row r="14" spans="1:11" ht="12.75">
      <c r="A14" t="s">
        <v>443</v>
      </c>
      <c r="B14" t="s">
        <v>303</v>
      </c>
      <c r="C14" s="50"/>
      <c r="D14" s="50"/>
      <c r="E14" s="50"/>
      <c r="F14" s="50"/>
      <c r="G14" s="50">
        <f t="shared" si="0"/>
        <v>0</v>
      </c>
      <c r="H14" s="51">
        <f t="shared" si="1"/>
        <v>0</v>
      </c>
      <c r="I14" s="50">
        <f>'2001'!C10+'2002'!C11+'2003'!C11+'2004'!C11+'2005'!C14</f>
        <v>13</v>
      </c>
      <c r="J14" s="50">
        <f>'2001'!G10+'2002'!G11+'2003'!G11+'2004'!G11+'2005'!G14</f>
        <v>68</v>
      </c>
      <c r="K14" s="52">
        <f t="shared" si="2"/>
        <v>5.226748654880861</v>
      </c>
    </row>
    <row r="15" spans="1:11" ht="12.75">
      <c r="A15" t="s">
        <v>411</v>
      </c>
      <c r="B15" t="s">
        <v>348</v>
      </c>
      <c r="C15" s="50"/>
      <c r="D15" s="50"/>
      <c r="E15" s="50"/>
      <c r="F15" s="50"/>
      <c r="G15" s="50">
        <f t="shared" si="0"/>
        <v>0</v>
      </c>
      <c r="H15" s="51">
        <f t="shared" si="1"/>
        <v>0</v>
      </c>
      <c r="I15" s="50">
        <f>'2001'!C12+'2003'!C13+'2004'!C12+'2005'!C15</f>
        <v>3</v>
      </c>
      <c r="J15" s="50">
        <f>'2001'!G12+'2004'!G13+'2005'!G13+'2005'!G15</f>
        <v>31</v>
      </c>
      <c r="K15" s="53">
        <f t="shared" si="2"/>
        <v>2.382782475019216</v>
      </c>
    </row>
    <row r="16" spans="1:11" ht="12.75">
      <c r="A16" t="s">
        <v>471</v>
      </c>
      <c r="B16" t="s">
        <v>472</v>
      </c>
      <c r="C16" s="50">
        <v>1</v>
      </c>
      <c r="D16" s="50">
        <v>0</v>
      </c>
      <c r="E16" s="50">
        <v>3</v>
      </c>
      <c r="F16" s="50">
        <v>5</v>
      </c>
      <c r="G16" s="50">
        <f t="shared" si="0"/>
        <v>8</v>
      </c>
      <c r="H16" s="51">
        <f t="shared" si="1"/>
        <v>3.389830508474576</v>
      </c>
      <c r="I16" s="50">
        <f>C16</f>
        <v>1</v>
      </c>
      <c r="J16" s="50">
        <f>G16</f>
        <v>8</v>
      </c>
      <c r="K16" s="53">
        <f t="shared" si="2"/>
        <v>0.6149116064565718</v>
      </c>
    </row>
    <row r="17" spans="1:11" ht="12.75">
      <c r="A17" t="s">
        <v>444</v>
      </c>
      <c r="B17" t="s">
        <v>351</v>
      </c>
      <c r="C17" s="50">
        <v>1</v>
      </c>
      <c r="D17" s="50">
        <v>0</v>
      </c>
      <c r="E17" s="50">
        <v>4</v>
      </c>
      <c r="F17" s="50">
        <v>3</v>
      </c>
      <c r="G17" s="50">
        <f t="shared" si="0"/>
        <v>7</v>
      </c>
      <c r="H17" s="51">
        <f t="shared" si="1"/>
        <v>2.9661016949152543</v>
      </c>
      <c r="I17" s="50">
        <f>'2001'!C14+'2002'!C13+'2004'!C13+'2005'!C17</f>
        <v>5</v>
      </c>
      <c r="J17" s="50">
        <f>'2001'!G14+'2002'!G13+'2004'!G13+'2005'!G17</f>
        <v>38</v>
      </c>
      <c r="K17" s="53">
        <f t="shared" si="2"/>
        <v>2.9208301306687163</v>
      </c>
    </row>
    <row r="18" spans="1:11" ht="12.75">
      <c r="A18" t="s">
        <v>445</v>
      </c>
      <c r="B18" t="s">
        <v>446</v>
      </c>
      <c r="C18" s="50"/>
      <c r="D18" s="50"/>
      <c r="E18" s="50"/>
      <c r="F18" s="50"/>
      <c r="G18" s="50">
        <f t="shared" si="0"/>
        <v>0</v>
      </c>
      <c r="H18" s="51">
        <f t="shared" si="1"/>
        <v>0</v>
      </c>
      <c r="I18" s="50">
        <f>'2002'!C15+'2003'!C16+'2004'!C14+'2005'!C18</f>
        <v>3</v>
      </c>
      <c r="J18" s="50">
        <f>'2002'!G15+'2003'!G16+'2004'!G14+'2005'!G18</f>
        <v>22</v>
      </c>
      <c r="K18" s="53">
        <f t="shared" si="2"/>
        <v>1.6910069177555727</v>
      </c>
    </row>
    <row r="19" spans="1:11" ht="12.75">
      <c r="A19" t="s">
        <v>419</v>
      </c>
      <c r="B19" t="s">
        <v>420</v>
      </c>
      <c r="C19" s="50">
        <v>2</v>
      </c>
      <c r="D19" s="50">
        <v>0</v>
      </c>
      <c r="E19" s="50">
        <v>6</v>
      </c>
      <c r="F19" s="50">
        <v>7</v>
      </c>
      <c r="G19" s="50">
        <f t="shared" si="0"/>
        <v>13</v>
      </c>
      <c r="H19" s="51">
        <f t="shared" si="1"/>
        <v>5.508474576271186</v>
      </c>
      <c r="I19" s="50">
        <f>'2002'!C18+'2003'!C19+'2004'!C15+'2005'!C19</f>
        <v>5</v>
      </c>
      <c r="J19" s="50">
        <f>'2002'!G18+'2003'!G19+'2004'!G15+'2005'!G19</f>
        <v>27</v>
      </c>
      <c r="K19" s="53">
        <f t="shared" si="2"/>
        <v>2.07532667179093</v>
      </c>
    </row>
    <row r="20" spans="1:11" ht="12.75">
      <c r="A20" t="s">
        <v>198</v>
      </c>
      <c r="B20" t="s">
        <v>199</v>
      </c>
      <c r="C20" s="50">
        <v>2</v>
      </c>
      <c r="D20" s="50">
        <v>0</v>
      </c>
      <c r="E20" s="50">
        <v>6</v>
      </c>
      <c r="F20" s="50">
        <v>5</v>
      </c>
      <c r="G20" s="50">
        <f t="shared" si="0"/>
        <v>11</v>
      </c>
      <c r="H20" s="51">
        <f t="shared" si="1"/>
        <v>4.661016949152542</v>
      </c>
      <c r="I20" s="50">
        <f>'2004'!C16+'2005'!C20</f>
        <v>4</v>
      </c>
      <c r="J20" s="50">
        <f>'2004'!G16+'2005'!G20</f>
        <v>21</v>
      </c>
      <c r="K20" s="53">
        <f t="shared" si="2"/>
        <v>1.6141429669485012</v>
      </c>
    </row>
    <row r="21" spans="1:11" ht="12.75">
      <c r="A21" t="s">
        <v>388</v>
      </c>
      <c r="B21" t="s">
        <v>354</v>
      </c>
      <c r="C21" s="50">
        <v>3</v>
      </c>
      <c r="D21" s="50">
        <v>1</v>
      </c>
      <c r="E21" s="50">
        <v>1</v>
      </c>
      <c r="F21" s="50">
        <v>6</v>
      </c>
      <c r="G21" s="50">
        <f t="shared" si="0"/>
        <v>7</v>
      </c>
      <c r="H21" s="51">
        <f t="shared" si="1"/>
        <v>2.9661016949152543</v>
      </c>
      <c r="I21" s="50">
        <f>'2001'!C19+'2002'!C19+'2003'!C20+'2005'!C21</f>
        <v>6</v>
      </c>
      <c r="J21" s="50">
        <f>'2002'!G19+'2005'!G21</f>
        <v>8</v>
      </c>
      <c r="K21" s="53">
        <f t="shared" si="2"/>
        <v>0.6149116064565718</v>
      </c>
    </row>
    <row r="22" spans="1:11" ht="12.75">
      <c r="A22" t="s">
        <v>421</v>
      </c>
      <c r="B22" t="s">
        <v>358</v>
      </c>
      <c r="C22" s="50">
        <v>1</v>
      </c>
      <c r="D22" s="50">
        <v>0</v>
      </c>
      <c r="E22" s="50">
        <v>1</v>
      </c>
      <c r="F22" s="50">
        <v>5</v>
      </c>
      <c r="G22" s="50">
        <f t="shared" si="0"/>
        <v>6</v>
      </c>
      <c r="H22" s="51">
        <f t="shared" si="1"/>
        <v>2.5423728813559325</v>
      </c>
      <c r="I22" s="50">
        <f>'2001'!C21+'2002'!C20+'2003'!C21+'2004'!C17+'2005'!C22</f>
        <v>10</v>
      </c>
      <c r="J22" s="50">
        <f>'2001'!G21+'2002'!G20+'2003'!G21+'2004'!G17+'2005'!G22</f>
        <v>54</v>
      </c>
      <c r="K22" s="53">
        <f t="shared" si="2"/>
        <v>4.15065334358186</v>
      </c>
    </row>
    <row r="23" spans="1:11" ht="12.75">
      <c r="A23" t="s">
        <v>447</v>
      </c>
      <c r="B23" t="s">
        <v>423</v>
      </c>
      <c r="C23" s="50">
        <v>1</v>
      </c>
      <c r="D23" s="50"/>
      <c r="E23" s="50">
        <v>5</v>
      </c>
      <c r="F23" s="50">
        <v>4</v>
      </c>
      <c r="G23" s="50">
        <f t="shared" si="0"/>
        <v>9</v>
      </c>
      <c r="H23" s="51">
        <f t="shared" si="1"/>
        <v>3.8135593220338984</v>
      </c>
      <c r="I23" s="50">
        <f>'2003'!C22+'2004'!C18+'2005'!C23</f>
        <v>4</v>
      </c>
      <c r="J23" s="50">
        <f>'2003'!G22+'2004'!G18+'2005'!G23</f>
        <v>17</v>
      </c>
      <c r="K23" s="53">
        <f t="shared" si="2"/>
        <v>1.3066871637202153</v>
      </c>
    </row>
    <row r="24" spans="1:11" ht="12.75">
      <c r="A24" t="s">
        <v>473</v>
      </c>
      <c r="B24" t="s">
        <v>474</v>
      </c>
      <c r="C24" s="50">
        <v>2</v>
      </c>
      <c r="D24" s="50">
        <v>0</v>
      </c>
      <c r="E24" s="50">
        <v>5</v>
      </c>
      <c r="F24" s="50">
        <v>5</v>
      </c>
      <c r="G24" s="50">
        <f t="shared" si="0"/>
        <v>10</v>
      </c>
      <c r="H24" s="51">
        <f t="shared" si="1"/>
        <v>4.23728813559322</v>
      </c>
      <c r="I24" s="50">
        <f>C24</f>
        <v>2</v>
      </c>
      <c r="J24" s="50">
        <f>G24</f>
        <v>10</v>
      </c>
      <c r="K24" s="53">
        <f t="shared" si="2"/>
        <v>0.7686395080707148</v>
      </c>
    </row>
    <row r="25" spans="1:11" ht="12.75">
      <c r="A25" t="s">
        <v>448</v>
      </c>
      <c r="B25" t="s">
        <v>449</v>
      </c>
      <c r="C25" s="50"/>
      <c r="D25" s="50"/>
      <c r="E25" s="50"/>
      <c r="F25" s="50"/>
      <c r="G25" s="50">
        <f t="shared" si="0"/>
        <v>0</v>
      </c>
      <c r="H25" s="51">
        <f t="shared" si="1"/>
        <v>0</v>
      </c>
      <c r="I25" s="50">
        <f>'2004'!C19+'2005'!C25</f>
        <v>1</v>
      </c>
      <c r="J25" s="50">
        <f>'2004'!G19+'2005'!G25</f>
        <v>0</v>
      </c>
      <c r="K25" s="53">
        <f t="shared" si="2"/>
        <v>0</v>
      </c>
    </row>
    <row r="26" spans="1:11" ht="12.75">
      <c r="A26" t="s">
        <v>427</v>
      </c>
      <c r="B26" t="s">
        <v>360</v>
      </c>
      <c r="C26" s="50">
        <v>1</v>
      </c>
      <c r="D26" s="50"/>
      <c r="E26" s="50">
        <v>3</v>
      </c>
      <c r="F26" s="50">
        <v>6</v>
      </c>
      <c r="G26" s="50">
        <f t="shared" si="0"/>
        <v>9</v>
      </c>
      <c r="H26" s="51">
        <f t="shared" si="1"/>
        <v>3.8135593220338984</v>
      </c>
      <c r="I26" s="50">
        <f>'2001'!C23+'2002'!C23+'2003'!C25+'2004'!C20+'2005'!C26</f>
        <v>11</v>
      </c>
      <c r="J26" s="50">
        <f>'2001'!G23+'2002'!G23+'2003'!G25+'2004'!G20+'2005'!G26</f>
        <v>94</v>
      </c>
      <c r="K26" s="52">
        <f t="shared" si="2"/>
        <v>7.22521137586472</v>
      </c>
    </row>
    <row r="27" spans="1:11" ht="12.75">
      <c r="A27" t="s">
        <v>450</v>
      </c>
      <c r="B27" t="s">
        <v>363</v>
      </c>
      <c r="C27" s="50">
        <v>3</v>
      </c>
      <c r="D27" s="50">
        <v>3</v>
      </c>
      <c r="E27" s="50"/>
      <c r="F27" s="50"/>
      <c r="G27" s="50">
        <f t="shared" si="0"/>
        <v>0</v>
      </c>
      <c r="H27" s="51">
        <f t="shared" si="1"/>
        <v>0</v>
      </c>
      <c r="I27" s="50">
        <f>'2001'!C24+'2002'!C24+'2004'!C21+'2005'!C27</f>
        <v>8</v>
      </c>
      <c r="J27" s="50">
        <f>'2001'!G24+'2002'!G24+'2004'!G21+'2005'!G27</f>
        <v>35</v>
      </c>
      <c r="K27" s="53">
        <f t="shared" si="2"/>
        <v>2.690238278247502</v>
      </c>
    </row>
    <row r="28" spans="1:11" ht="12.75">
      <c r="A28" t="s">
        <v>451</v>
      </c>
      <c r="B28" t="s">
        <v>317</v>
      </c>
      <c r="C28" s="50"/>
      <c r="D28" s="50"/>
      <c r="E28" s="50"/>
      <c r="F28" s="50"/>
      <c r="G28" s="50">
        <f t="shared" si="0"/>
        <v>0</v>
      </c>
      <c r="H28" s="51">
        <f t="shared" si="1"/>
        <v>0</v>
      </c>
      <c r="I28" s="50">
        <f>'2002'!C25+'2004'!C22+'2005'!C28</f>
        <v>2</v>
      </c>
      <c r="J28" s="50">
        <f>'2002'!G25+'2005'!G23+'2005'!G28</f>
        <v>19</v>
      </c>
      <c r="K28" s="53">
        <f t="shared" si="2"/>
        <v>1.4604150653343582</v>
      </c>
    </row>
    <row r="29" spans="1:11" ht="12.75">
      <c r="A29" t="s">
        <v>452</v>
      </c>
      <c r="B29" t="s">
        <v>365</v>
      </c>
      <c r="C29" s="50">
        <v>4</v>
      </c>
      <c r="D29" s="50">
        <v>0</v>
      </c>
      <c r="E29" s="50">
        <v>14</v>
      </c>
      <c r="F29" s="50">
        <v>9</v>
      </c>
      <c r="G29" s="50">
        <f t="shared" si="0"/>
        <v>23</v>
      </c>
      <c r="H29" s="51">
        <f t="shared" si="1"/>
        <v>9.745762711864407</v>
      </c>
      <c r="I29" s="50">
        <f>'2001'!C25+'2003'!C27+'2004'!C23+'2005'!C29</f>
        <v>10</v>
      </c>
      <c r="J29" s="50">
        <f>'2001'!G25+'2003'!G27+'2004'!G23+'2005'!G29</f>
        <v>54</v>
      </c>
      <c r="K29" s="53">
        <f t="shared" si="2"/>
        <v>4.15065334358186</v>
      </c>
    </row>
    <row r="30" spans="1:11" ht="12.75">
      <c r="A30" t="s">
        <v>453</v>
      </c>
      <c r="B30" t="s">
        <v>454</v>
      </c>
      <c r="C30" s="50"/>
      <c r="D30" s="50"/>
      <c r="E30" s="50"/>
      <c r="F30" s="50"/>
      <c r="G30" s="50">
        <f t="shared" si="0"/>
        <v>0</v>
      </c>
      <c r="H30" s="51">
        <f t="shared" si="1"/>
        <v>0</v>
      </c>
      <c r="I30" s="50">
        <f>'2004'!C24+'2005'!C30</f>
        <v>1</v>
      </c>
      <c r="J30" s="50">
        <f>'2004'!G24+'2005'!G30</f>
        <v>8</v>
      </c>
      <c r="K30" s="53">
        <f t="shared" si="2"/>
        <v>0.6149116064565718</v>
      </c>
    </row>
    <row r="31" spans="1:11" ht="12.75">
      <c r="A31" t="s">
        <v>455</v>
      </c>
      <c r="B31" t="s">
        <v>456</v>
      </c>
      <c r="C31" s="50"/>
      <c r="D31" s="50"/>
      <c r="E31" s="50"/>
      <c r="F31" s="50"/>
      <c r="G31" s="50">
        <f t="shared" si="0"/>
        <v>0</v>
      </c>
      <c r="H31" s="51">
        <f t="shared" si="1"/>
        <v>0</v>
      </c>
      <c r="I31" s="50">
        <f>'2004'!C25+'2005'!C31</f>
        <v>2</v>
      </c>
      <c r="J31" s="50">
        <f>'2004'!G25+'2005'!G31</f>
        <v>14</v>
      </c>
      <c r="K31" s="53">
        <f t="shared" si="2"/>
        <v>1.0760953112990008</v>
      </c>
    </row>
    <row r="32" spans="1:11" ht="12.75">
      <c r="A32" t="s">
        <v>457</v>
      </c>
      <c r="B32" t="s">
        <v>458</v>
      </c>
      <c r="C32" s="50"/>
      <c r="D32" s="50"/>
      <c r="E32" s="50"/>
      <c r="F32" s="50"/>
      <c r="G32" s="50">
        <f t="shared" si="0"/>
        <v>0</v>
      </c>
      <c r="H32" s="51">
        <f t="shared" si="1"/>
        <v>0</v>
      </c>
      <c r="I32" s="50">
        <f>'2004'!C26+'2005'!C32</f>
        <v>1</v>
      </c>
      <c r="J32" s="50">
        <f>'2004'!G26+'2005'!G32</f>
        <v>9</v>
      </c>
      <c r="K32" s="53">
        <f t="shared" si="2"/>
        <v>0.6917755572636434</v>
      </c>
    </row>
    <row r="33" spans="3:11" ht="12.75">
      <c r="C33" s="50"/>
      <c r="D33" s="50"/>
      <c r="E33" s="50">
        <f>SUM(E4:E32)</f>
        <v>101</v>
      </c>
      <c r="F33" s="50">
        <f>SUM(F4:F32)</f>
        <v>90</v>
      </c>
      <c r="G33" s="50">
        <f>SUM(G4:G32)</f>
        <v>191</v>
      </c>
      <c r="H33" s="53">
        <f>SUM(H4:H32)</f>
        <v>80.93220338983049</v>
      </c>
      <c r="I33" s="50"/>
      <c r="J33" s="50"/>
      <c r="K33" s="53"/>
    </row>
    <row r="34" spans="3:11" ht="12.75">
      <c r="C34" s="50"/>
      <c r="D34" s="50"/>
      <c r="E34" s="50"/>
      <c r="F34" s="50"/>
      <c r="G34" s="50"/>
      <c r="H34" s="50"/>
      <c r="I34" s="50"/>
      <c r="J34" s="50"/>
      <c r="K34" s="53"/>
    </row>
    <row r="35" spans="1:11" ht="12.75">
      <c r="A35" s="49" t="s">
        <v>366</v>
      </c>
      <c r="C35" s="50"/>
      <c r="D35" s="50"/>
      <c r="E35" s="50"/>
      <c r="F35" s="50"/>
      <c r="G35" s="50" t="s">
        <v>180</v>
      </c>
      <c r="H35" s="51"/>
      <c r="I35" s="50"/>
      <c r="J35" s="50"/>
      <c r="K35" s="53"/>
    </row>
    <row r="36" spans="1:11" ht="12.75">
      <c r="A36" t="s">
        <v>475</v>
      </c>
      <c r="B36" t="s">
        <v>476</v>
      </c>
      <c r="C36" s="50">
        <v>1</v>
      </c>
      <c r="D36" s="50">
        <v>0</v>
      </c>
      <c r="E36" s="50">
        <v>3</v>
      </c>
      <c r="F36" s="50">
        <v>5</v>
      </c>
      <c r="G36" s="50">
        <f>SUM(E36:F36)</f>
        <v>8</v>
      </c>
      <c r="H36" s="51">
        <f aca="true" t="shared" si="3" ref="H36:H41">(G36/$G$45)*100</f>
        <v>3.389830508474576</v>
      </c>
      <c r="I36" s="50">
        <f aca="true" t="shared" si="4" ref="I36:I41">C36</f>
        <v>1</v>
      </c>
      <c r="J36" s="50">
        <f aca="true" t="shared" si="5" ref="J36:J41">G36</f>
        <v>8</v>
      </c>
      <c r="K36" s="53">
        <f aca="true" t="shared" si="6" ref="K36:K41">(J36/$K$47)*100</f>
        <v>0.6149116064565718</v>
      </c>
    </row>
    <row r="37" spans="1:11" ht="12.75">
      <c r="A37" t="s">
        <v>403</v>
      </c>
      <c r="B37" t="s">
        <v>477</v>
      </c>
      <c r="C37" s="50">
        <v>1</v>
      </c>
      <c r="D37" s="50">
        <v>0</v>
      </c>
      <c r="E37" s="50">
        <v>4</v>
      </c>
      <c r="F37" s="50">
        <v>2</v>
      </c>
      <c r="G37" s="50">
        <f>SUM(E37:F37)</f>
        <v>6</v>
      </c>
      <c r="H37" s="51">
        <f t="shared" si="3"/>
        <v>2.5423728813559325</v>
      </c>
      <c r="I37" s="50">
        <f t="shared" si="4"/>
        <v>1</v>
      </c>
      <c r="J37" s="50">
        <f t="shared" si="5"/>
        <v>6</v>
      </c>
      <c r="K37" s="53">
        <f t="shared" si="6"/>
        <v>0.4611837048424289</v>
      </c>
    </row>
    <row r="38" spans="1:11" ht="12.75">
      <c r="A38" t="s">
        <v>478</v>
      </c>
      <c r="B38" s="50" t="s">
        <v>479</v>
      </c>
      <c r="C38" s="50">
        <v>1</v>
      </c>
      <c r="D38" s="50">
        <v>0</v>
      </c>
      <c r="E38" s="50">
        <v>2</v>
      </c>
      <c r="F38" s="50">
        <v>5</v>
      </c>
      <c r="G38" s="50">
        <f>SUM(E38:F38)</f>
        <v>7</v>
      </c>
      <c r="H38" s="51">
        <f t="shared" si="3"/>
        <v>2.9661016949152543</v>
      </c>
      <c r="I38" s="50">
        <f t="shared" si="4"/>
        <v>1</v>
      </c>
      <c r="J38" s="50">
        <f t="shared" si="5"/>
        <v>7</v>
      </c>
      <c r="K38" s="53">
        <f t="shared" si="6"/>
        <v>0.5380476556495004</v>
      </c>
    </row>
    <row r="39" spans="1:11" ht="12.75">
      <c r="A39" t="s">
        <v>480</v>
      </c>
      <c r="B39" s="50" t="s">
        <v>481</v>
      </c>
      <c r="C39" s="50">
        <v>1</v>
      </c>
      <c r="D39" s="50">
        <v>0</v>
      </c>
      <c r="E39" s="50">
        <v>2</v>
      </c>
      <c r="F39" s="50">
        <v>3</v>
      </c>
      <c r="G39" s="50">
        <f>SUM(E39:F39)</f>
        <v>5</v>
      </c>
      <c r="H39" s="51">
        <f t="shared" si="3"/>
        <v>2.11864406779661</v>
      </c>
      <c r="I39" s="50">
        <f t="shared" si="4"/>
        <v>1</v>
      </c>
      <c r="J39" s="50">
        <f t="shared" si="5"/>
        <v>5</v>
      </c>
      <c r="K39" s="53">
        <f t="shared" si="6"/>
        <v>0.3843197540353574</v>
      </c>
    </row>
    <row r="40" spans="1:11" ht="12.75">
      <c r="A40" t="s">
        <v>391</v>
      </c>
      <c r="B40" s="50" t="s">
        <v>426</v>
      </c>
      <c r="C40" s="50">
        <v>1</v>
      </c>
      <c r="D40" s="50">
        <v>0</v>
      </c>
      <c r="E40" s="50">
        <v>3</v>
      </c>
      <c r="F40" s="50">
        <v>4</v>
      </c>
      <c r="G40" s="50">
        <f>SUM(E40:F40)</f>
        <v>7</v>
      </c>
      <c r="H40" s="51">
        <f t="shared" si="3"/>
        <v>2.9661016949152543</v>
      </c>
      <c r="I40" s="50">
        <f t="shared" si="4"/>
        <v>1</v>
      </c>
      <c r="J40" s="50">
        <f t="shared" si="5"/>
        <v>7</v>
      </c>
      <c r="K40" s="53">
        <f t="shared" si="6"/>
        <v>0.5380476556495004</v>
      </c>
    </row>
    <row r="41" spans="1:11" ht="12.75">
      <c r="A41" t="s">
        <v>482</v>
      </c>
      <c r="B41" t="s">
        <v>483</v>
      </c>
      <c r="C41" s="50">
        <v>1</v>
      </c>
      <c r="D41" s="50">
        <v>0</v>
      </c>
      <c r="E41" s="50">
        <v>4</v>
      </c>
      <c r="F41" s="50">
        <v>3</v>
      </c>
      <c r="G41" s="50">
        <f>E41+F41</f>
        <v>7</v>
      </c>
      <c r="H41" s="51">
        <f t="shared" si="3"/>
        <v>2.9661016949152543</v>
      </c>
      <c r="I41" s="50">
        <f t="shared" si="4"/>
        <v>1</v>
      </c>
      <c r="J41" s="50">
        <f t="shared" si="5"/>
        <v>7</v>
      </c>
      <c r="K41" s="53">
        <f t="shared" si="6"/>
        <v>0.5380476556495004</v>
      </c>
    </row>
    <row r="42" spans="3:10" ht="12.75">
      <c r="C42" s="50"/>
      <c r="D42" s="50"/>
      <c r="E42" s="50">
        <f>SUM(E36:E41)</f>
        <v>18</v>
      </c>
      <c r="F42" s="50">
        <f>SUM(F36:F41)</f>
        <v>22</v>
      </c>
      <c r="G42" s="50">
        <f>SUM(G36:G41)</f>
        <v>40</v>
      </c>
      <c r="H42" s="50">
        <f>SUM(H36:H41)</f>
        <v>16.949152542372882</v>
      </c>
      <c r="J42" s="50"/>
    </row>
    <row r="43" spans="3:8" ht="12.75">
      <c r="C43" s="50"/>
      <c r="D43" s="50"/>
      <c r="E43" s="50"/>
      <c r="F43" s="50"/>
      <c r="G43" s="50"/>
      <c r="H43" s="51"/>
    </row>
    <row r="44" spans="1:10" ht="12.75">
      <c r="A44" s="49" t="s">
        <v>462</v>
      </c>
      <c r="C44" s="50"/>
      <c r="D44" s="50"/>
      <c r="E44" s="50">
        <v>2</v>
      </c>
      <c r="F44" s="50">
        <v>3</v>
      </c>
      <c r="G44" s="50">
        <f>E44+F44</f>
        <v>5</v>
      </c>
      <c r="H44" s="51">
        <f>(G44/$G$45)*100</f>
        <v>2.11864406779661</v>
      </c>
      <c r="J44" s="50">
        <f>G44</f>
        <v>5</v>
      </c>
    </row>
    <row r="45" spans="1:11" ht="12.75">
      <c r="A45" t="s">
        <v>8</v>
      </c>
      <c r="C45" s="50">
        <f>SUM(C4:C44)</f>
        <v>40</v>
      </c>
      <c r="D45" s="50">
        <f>SUM(D4:D44)</f>
        <v>4</v>
      </c>
      <c r="E45" s="50">
        <f>E33+E35+E44</f>
        <v>103</v>
      </c>
      <c r="F45" s="50">
        <f>F33+F35+F44</f>
        <v>93</v>
      </c>
      <c r="G45" s="50">
        <f>G33+G42+G44</f>
        <v>236</v>
      </c>
      <c r="H45" s="51">
        <f>H33+H42+H44</f>
        <v>99.99999999999999</v>
      </c>
      <c r="I45" s="50"/>
      <c r="J45" s="50">
        <f>SUM(J4:J44)</f>
        <v>834</v>
      </c>
      <c r="K45" s="50"/>
    </row>
    <row r="46" spans="3:11" ht="12.75">
      <c r="C46" s="50"/>
      <c r="D46" s="50"/>
      <c r="E46" s="50"/>
      <c r="F46" s="50"/>
      <c r="G46" s="50"/>
      <c r="H46" s="51"/>
      <c r="I46" s="50"/>
      <c r="J46" s="50"/>
      <c r="K46" s="50"/>
    </row>
    <row r="47" spans="10:11" ht="12.75">
      <c r="J47" t="s">
        <v>463</v>
      </c>
      <c r="K47" s="9">
        <f>'2001'!G26+'2002'!G28+'2003'!G30+'2004'!G30+'2005'!G45</f>
        <v>1301</v>
      </c>
    </row>
    <row r="48" spans="2:10" ht="12.75">
      <c r="B48" t="s">
        <v>464</v>
      </c>
      <c r="J48" t="s">
        <v>465</v>
      </c>
    </row>
    <row r="49" spans="1:4" ht="12.75">
      <c r="A49" t="s">
        <v>51</v>
      </c>
      <c r="B49" s="9">
        <f>4*26*41/67</f>
        <v>63.64179104477612</v>
      </c>
      <c r="D49" s="9">
        <f>B49/41*50</f>
        <v>77.61194029850746</v>
      </c>
    </row>
    <row r="51" spans="1:2" ht="12.75">
      <c r="A51" t="s">
        <v>470</v>
      </c>
      <c r="B51" t="s">
        <v>484</v>
      </c>
    </row>
    <row r="55" spans="1:2" ht="12.75">
      <c r="A55" t="s">
        <v>485</v>
      </c>
      <c r="B55" s="9">
        <f>'2001'!G26+'2002'!G28+'2003'!G30+'2004'!G30+'2005'!G45</f>
        <v>1301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39375" right="0.39375" top="1.18125" bottom="1.181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5742187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52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13</v>
      </c>
    </row>
    <row r="3" spans="1:11" ht="12.75">
      <c r="A3" s="6" t="s">
        <v>29</v>
      </c>
      <c r="B3" s="6" t="s">
        <v>30</v>
      </c>
      <c r="C3" s="6">
        <v>5</v>
      </c>
      <c r="D3" s="6"/>
      <c r="E3" s="6">
        <v>21</v>
      </c>
      <c r="F3" s="6">
        <v>11</v>
      </c>
      <c r="G3" s="6">
        <v>32</v>
      </c>
      <c r="H3" s="6">
        <v>15.23</v>
      </c>
      <c r="I3" s="6">
        <v>15</v>
      </c>
      <c r="J3" s="6">
        <v>100</v>
      </c>
      <c r="K3" s="7">
        <v>8.79</v>
      </c>
    </row>
    <row r="4" spans="1:11" ht="12.75">
      <c r="A4" t="s">
        <v>14</v>
      </c>
      <c r="B4" t="s">
        <v>15</v>
      </c>
      <c r="C4">
        <v>4</v>
      </c>
      <c r="E4">
        <v>19</v>
      </c>
      <c r="F4">
        <v>11</v>
      </c>
      <c r="G4">
        <v>30</v>
      </c>
      <c r="H4">
        <v>14.28</v>
      </c>
      <c r="I4">
        <v>10</v>
      </c>
      <c r="J4">
        <v>76</v>
      </c>
      <c r="K4" s="7">
        <v>6.68</v>
      </c>
    </row>
    <row r="5" spans="1:11" ht="12.75">
      <c r="A5" t="s">
        <v>53</v>
      </c>
      <c r="B5" t="s">
        <v>54</v>
      </c>
      <c r="C5">
        <v>4</v>
      </c>
      <c r="E5">
        <v>17</v>
      </c>
      <c r="F5">
        <v>11</v>
      </c>
      <c r="G5">
        <v>28</v>
      </c>
      <c r="H5">
        <v>13.33</v>
      </c>
      <c r="I5">
        <v>4</v>
      </c>
      <c r="J5">
        <v>28</v>
      </c>
      <c r="K5">
        <v>2.46</v>
      </c>
    </row>
    <row r="6" spans="1:11" ht="12.75">
      <c r="A6" t="s">
        <v>55</v>
      </c>
      <c r="B6" t="s">
        <v>56</v>
      </c>
      <c r="C6">
        <v>4</v>
      </c>
      <c r="E6">
        <v>6</v>
      </c>
      <c r="F6">
        <v>6</v>
      </c>
      <c r="G6">
        <v>12</v>
      </c>
      <c r="H6">
        <v>5.71</v>
      </c>
      <c r="I6">
        <v>4</v>
      </c>
      <c r="J6">
        <v>12</v>
      </c>
      <c r="K6">
        <v>1.05</v>
      </c>
    </row>
    <row r="7" spans="1:11" ht="12.75">
      <c r="A7" t="s">
        <v>18</v>
      </c>
      <c r="B7" t="s">
        <v>19</v>
      </c>
      <c r="C7">
        <v>3</v>
      </c>
      <c r="E7">
        <v>8</v>
      </c>
      <c r="F7">
        <v>13</v>
      </c>
      <c r="G7">
        <v>21</v>
      </c>
      <c r="H7">
        <v>10</v>
      </c>
      <c r="I7">
        <v>12</v>
      </c>
      <c r="J7">
        <v>73</v>
      </c>
      <c r="K7" s="7">
        <v>6.33</v>
      </c>
    </row>
    <row r="8" spans="1:11" ht="12.75">
      <c r="A8" t="s">
        <v>16</v>
      </c>
      <c r="B8" t="s">
        <v>17</v>
      </c>
      <c r="C8">
        <v>2</v>
      </c>
      <c r="E8">
        <v>10</v>
      </c>
      <c r="F8">
        <v>11</v>
      </c>
      <c r="G8">
        <v>21</v>
      </c>
      <c r="H8">
        <v>10</v>
      </c>
      <c r="I8">
        <v>5</v>
      </c>
      <c r="J8">
        <v>43</v>
      </c>
      <c r="K8">
        <v>3.78</v>
      </c>
    </row>
    <row r="9" spans="1:11" ht="12.75">
      <c r="A9" t="s">
        <v>22</v>
      </c>
      <c r="B9" t="s">
        <v>23</v>
      </c>
      <c r="C9">
        <v>2</v>
      </c>
      <c r="E9">
        <v>7</v>
      </c>
      <c r="F9">
        <v>6</v>
      </c>
      <c r="G9">
        <v>13</v>
      </c>
      <c r="H9">
        <v>6.19</v>
      </c>
      <c r="I9">
        <v>12</v>
      </c>
      <c r="J9">
        <v>92</v>
      </c>
      <c r="K9" s="7">
        <v>8.09</v>
      </c>
    </row>
    <row r="10" spans="1:11" ht="12.75">
      <c r="A10" t="s">
        <v>20</v>
      </c>
      <c r="B10" t="s">
        <v>21</v>
      </c>
      <c r="C10">
        <v>1</v>
      </c>
      <c r="E10">
        <v>4</v>
      </c>
      <c r="F10">
        <v>4</v>
      </c>
      <c r="G10">
        <v>8</v>
      </c>
      <c r="H10">
        <v>3.8</v>
      </c>
      <c r="I10">
        <v>7</v>
      </c>
      <c r="J10">
        <v>42</v>
      </c>
      <c r="K10">
        <v>3.69</v>
      </c>
    </row>
    <row r="11" spans="1:11" ht="12.75">
      <c r="A11" t="s">
        <v>57</v>
      </c>
      <c r="B11" t="s">
        <v>58</v>
      </c>
      <c r="C11">
        <v>1</v>
      </c>
      <c r="E11">
        <v>4</v>
      </c>
      <c r="F11">
        <v>4</v>
      </c>
      <c r="G11">
        <v>8</v>
      </c>
      <c r="H11">
        <v>3.8</v>
      </c>
      <c r="I11">
        <v>1</v>
      </c>
      <c r="J11">
        <v>8</v>
      </c>
      <c r="K11">
        <v>0.7</v>
      </c>
    </row>
    <row r="12" spans="1:11" ht="12.75">
      <c r="A12" t="s">
        <v>59</v>
      </c>
      <c r="C12">
        <v>1</v>
      </c>
      <c r="E12">
        <v>3</v>
      </c>
      <c r="F12">
        <v>4</v>
      </c>
      <c r="G12">
        <v>7</v>
      </c>
      <c r="H12">
        <v>3.33</v>
      </c>
      <c r="I12">
        <v>2</v>
      </c>
      <c r="J12">
        <v>15</v>
      </c>
      <c r="K12">
        <v>1.31</v>
      </c>
    </row>
    <row r="13" spans="1:11" ht="12.75">
      <c r="A13" t="s">
        <v>26</v>
      </c>
      <c r="B13" t="s">
        <v>27</v>
      </c>
      <c r="C13">
        <v>1</v>
      </c>
      <c r="E13">
        <v>3</v>
      </c>
      <c r="F13">
        <v>4</v>
      </c>
      <c r="G13">
        <v>7</v>
      </c>
      <c r="H13">
        <v>3.33</v>
      </c>
      <c r="I13">
        <v>4</v>
      </c>
      <c r="J13">
        <v>31</v>
      </c>
      <c r="K13">
        <v>2.72</v>
      </c>
    </row>
    <row r="14" spans="1:11" ht="12.75">
      <c r="A14" t="s">
        <v>35</v>
      </c>
      <c r="B14" t="s">
        <v>36</v>
      </c>
      <c r="C14">
        <v>1</v>
      </c>
      <c r="E14">
        <v>4</v>
      </c>
      <c r="F14">
        <v>2</v>
      </c>
      <c r="G14">
        <v>6</v>
      </c>
      <c r="H14">
        <v>2.85</v>
      </c>
      <c r="I14">
        <v>4</v>
      </c>
      <c r="J14">
        <v>23</v>
      </c>
      <c r="K14">
        <v>2.02</v>
      </c>
    </row>
    <row r="15" spans="1:11" ht="12.75">
      <c r="A15" t="s">
        <v>60</v>
      </c>
      <c r="B15" t="s">
        <v>61</v>
      </c>
      <c r="C15">
        <v>1</v>
      </c>
      <c r="E15">
        <v>2</v>
      </c>
      <c r="F15">
        <v>3</v>
      </c>
      <c r="G15">
        <v>5</v>
      </c>
      <c r="H15">
        <v>2.38</v>
      </c>
      <c r="I15">
        <v>1</v>
      </c>
      <c r="J15">
        <v>5</v>
      </c>
      <c r="K15">
        <v>0.43</v>
      </c>
    </row>
    <row r="16" spans="1:11" ht="12.75">
      <c r="A16" t="s">
        <v>31</v>
      </c>
      <c r="B16" t="s">
        <v>28</v>
      </c>
      <c r="C16">
        <v>1</v>
      </c>
      <c r="E16">
        <v>1</v>
      </c>
      <c r="F16">
        <v>3</v>
      </c>
      <c r="G16">
        <v>4</v>
      </c>
      <c r="H16">
        <v>1.9</v>
      </c>
      <c r="I16">
        <v>2</v>
      </c>
      <c r="J16">
        <v>10</v>
      </c>
      <c r="K16">
        <v>0.87</v>
      </c>
    </row>
    <row r="17" spans="1:11" ht="12.75">
      <c r="A17" t="s">
        <v>62</v>
      </c>
      <c r="B17" t="s">
        <v>63</v>
      </c>
      <c r="C17">
        <v>1</v>
      </c>
      <c r="E17">
        <v>1</v>
      </c>
      <c r="F17">
        <v>3</v>
      </c>
      <c r="G17">
        <v>4</v>
      </c>
      <c r="H17">
        <v>1.9</v>
      </c>
      <c r="I17">
        <v>1</v>
      </c>
      <c r="J17">
        <v>4</v>
      </c>
      <c r="K17">
        <v>0.35</v>
      </c>
    </row>
    <row r="18" spans="1:11" ht="12.75">
      <c r="A18" t="s">
        <v>26</v>
      </c>
      <c r="B18" t="s">
        <v>28</v>
      </c>
      <c r="C18">
        <v>1</v>
      </c>
      <c r="E18">
        <v>1</v>
      </c>
      <c r="F18">
        <v>3</v>
      </c>
      <c r="G18">
        <v>4</v>
      </c>
      <c r="H18">
        <v>1.9</v>
      </c>
      <c r="I18">
        <v>4</v>
      </c>
      <c r="J18">
        <v>25</v>
      </c>
      <c r="K18">
        <v>2.19</v>
      </c>
    </row>
    <row r="19" spans="1:7" ht="12.75">
      <c r="A19" s="2" t="s">
        <v>8</v>
      </c>
      <c r="B19" s="2"/>
      <c r="C19" s="2">
        <v>33</v>
      </c>
      <c r="E19" s="2">
        <v>111</v>
      </c>
      <c r="F19" s="2">
        <v>99</v>
      </c>
      <c r="G19" s="2">
        <v>210</v>
      </c>
    </row>
    <row r="20" spans="1:2" ht="12.75">
      <c r="A20" s="2" t="s">
        <v>51</v>
      </c>
      <c r="B20" s="8">
        <v>43.1</v>
      </c>
    </row>
    <row r="25" ht="12.75">
      <c r="A25" s="2"/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87"/>
  <sheetViews>
    <sheetView zoomScale="90" zoomScaleNormal="90" zoomScalePageLayoutView="0" workbookViewId="0" topLeftCell="A13">
      <selection activeCell="A24" sqref="A24"/>
    </sheetView>
  </sheetViews>
  <sheetFormatPr defaultColWidth="9.140625" defaultRowHeight="12.75"/>
  <cols>
    <col min="1" max="1" width="27.57421875" style="0" customWidth="1"/>
    <col min="2" max="2" width="10.57421875" style="0" customWidth="1"/>
    <col min="3" max="3" width="5.421875" style="0" customWidth="1"/>
    <col min="4" max="4" width="7.28125" style="0" customWidth="1"/>
    <col min="5" max="5" width="7.57421875" style="0" customWidth="1"/>
    <col min="6" max="6" width="6.7109375" style="0" customWidth="1"/>
    <col min="7" max="7" width="6.00390625" style="0" customWidth="1"/>
    <col min="11" max="11" width="11.57421875" style="0" customWidth="1"/>
  </cols>
  <sheetData>
    <row r="1" spans="1:12" ht="12.75" customHeight="1">
      <c r="A1" s="2" t="s">
        <v>486</v>
      </c>
      <c r="B1" s="48"/>
      <c r="C1" s="100" t="s">
        <v>4</v>
      </c>
      <c r="D1" s="101" t="s">
        <v>368</v>
      </c>
      <c r="E1" s="100" t="s">
        <v>6</v>
      </c>
      <c r="F1" s="100" t="s">
        <v>7</v>
      </c>
      <c r="G1" s="2"/>
      <c r="H1" s="2"/>
      <c r="I1" s="100" t="s">
        <v>294</v>
      </c>
      <c r="J1" s="100" t="s">
        <v>295</v>
      </c>
      <c r="K1" s="100" t="s">
        <v>322</v>
      </c>
      <c r="L1" s="102" t="s">
        <v>13</v>
      </c>
    </row>
    <row r="2" spans="1:12" ht="12.75">
      <c r="A2" s="49" t="s">
        <v>431</v>
      </c>
      <c r="B2" s="49" t="s">
        <v>3</v>
      </c>
      <c r="C2" s="100"/>
      <c r="D2" s="101"/>
      <c r="E2" s="100"/>
      <c r="F2" s="100"/>
      <c r="G2" s="2" t="s">
        <v>8</v>
      </c>
      <c r="H2" s="2" t="s">
        <v>9</v>
      </c>
      <c r="I2" s="100"/>
      <c r="J2" s="100"/>
      <c r="K2" s="100"/>
      <c r="L2" s="102"/>
    </row>
    <row r="3" spans="1:12" ht="12.75">
      <c r="A3" t="s">
        <v>433</v>
      </c>
      <c r="B3" t="s">
        <v>434</v>
      </c>
      <c r="C3" s="55"/>
      <c r="D3" s="56"/>
      <c r="E3" s="55"/>
      <c r="F3" s="55"/>
      <c r="G3" s="6">
        <v>0</v>
      </c>
      <c r="H3" s="57">
        <f aca="true" t="shared" si="0" ref="H3:H34">G3/$G$81*100</f>
        <v>0</v>
      </c>
      <c r="I3" s="9">
        <f>'2005'!I4+'2006'!G3</f>
        <v>1</v>
      </c>
      <c r="J3" s="9">
        <f>'2004'!G4+'2006'!G3</f>
        <v>9</v>
      </c>
      <c r="K3" s="57">
        <f aca="true" t="shared" si="1" ref="K3:K34">J3/$J$81*100</f>
        <v>0.6823351023502654</v>
      </c>
      <c r="L3" s="49"/>
    </row>
    <row r="4" spans="1:11" ht="12.75">
      <c r="A4" t="s">
        <v>114</v>
      </c>
      <c r="G4" s="9">
        <f aca="true" t="shared" si="2" ref="G4:G35">E4+F4</f>
        <v>0</v>
      </c>
      <c r="H4" s="57">
        <f t="shared" si="0"/>
        <v>0</v>
      </c>
      <c r="I4">
        <v>1</v>
      </c>
      <c r="J4">
        <v>0</v>
      </c>
      <c r="K4" s="57">
        <f t="shared" si="1"/>
        <v>0</v>
      </c>
    </row>
    <row r="5" spans="1:11" ht="12.75">
      <c r="A5" t="s">
        <v>399</v>
      </c>
      <c r="B5" t="s">
        <v>400</v>
      </c>
      <c r="G5" s="9">
        <f t="shared" si="2"/>
        <v>0</v>
      </c>
      <c r="H5" s="57">
        <f t="shared" si="0"/>
        <v>0</v>
      </c>
      <c r="I5" s="9">
        <f>'2003'!I3+'2006'!C5</f>
        <v>1</v>
      </c>
      <c r="J5" s="9">
        <f>'2003'!G3+'2006'!G5</f>
        <v>5</v>
      </c>
      <c r="K5" s="57">
        <f t="shared" si="1"/>
        <v>0.37907505686125853</v>
      </c>
    </row>
    <row r="6" spans="1:11" ht="12.75">
      <c r="A6" t="s">
        <v>435</v>
      </c>
      <c r="B6" t="s">
        <v>436</v>
      </c>
      <c r="C6">
        <v>1</v>
      </c>
      <c r="E6">
        <v>4</v>
      </c>
      <c r="F6">
        <v>6</v>
      </c>
      <c r="G6" s="9">
        <f t="shared" si="2"/>
        <v>10</v>
      </c>
      <c r="H6" s="57">
        <f t="shared" si="0"/>
        <v>3.6231884057971016</v>
      </c>
      <c r="I6" s="9">
        <f>'2004'!I6+'2006'!C6</f>
        <v>2</v>
      </c>
      <c r="J6" s="9">
        <f>'2004'!G6+'2006'!G6</f>
        <v>12</v>
      </c>
      <c r="K6" s="57">
        <f t="shared" si="1"/>
        <v>0.9097801364670205</v>
      </c>
    </row>
    <row r="7" spans="1:11" ht="12.75">
      <c r="A7" t="s">
        <v>205</v>
      </c>
      <c r="B7" t="s">
        <v>206</v>
      </c>
      <c r="G7" s="9">
        <f t="shared" si="2"/>
        <v>0</v>
      </c>
      <c r="H7" s="57">
        <f t="shared" si="0"/>
        <v>0</v>
      </c>
      <c r="K7" s="57">
        <f t="shared" si="1"/>
        <v>0</v>
      </c>
    </row>
    <row r="8" spans="1:11" ht="12.75">
      <c r="A8" t="s">
        <v>466</v>
      </c>
      <c r="B8" t="s">
        <v>467</v>
      </c>
      <c r="G8" s="9">
        <f t="shared" si="2"/>
        <v>0</v>
      </c>
      <c r="H8" s="57">
        <f t="shared" si="0"/>
        <v>0</v>
      </c>
      <c r="I8" s="9">
        <f>'2005'!I7+'2006'!C8</f>
        <v>3</v>
      </c>
      <c r="J8" s="9">
        <f>'2005'!G7+'2006'!G8</f>
        <v>18</v>
      </c>
      <c r="K8" s="57">
        <f t="shared" si="1"/>
        <v>1.3646702047005308</v>
      </c>
    </row>
    <row r="9" spans="1:11" ht="12.75">
      <c r="A9" t="s">
        <v>207</v>
      </c>
      <c r="B9" t="s">
        <v>208</v>
      </c>
      <c r="G9" s="9">
        <f t="shared" si="2"/>
        <v>0</v>
      </c>
      <c r="H9" s="57">
        <f t="shared" si="0"/>
        <v>0</v>
      </c>
      <c r="I9" s="9">
        <f>'2002'!C3+'2006'!C9</f>
        <v>2</v>
      </c>
      <c r="J9" s="9">
        <f>'2002'!G3</f>
        <v>1</v>
      </c>
      <c r="K9" s="57">
        <f t="shared" si="1"/>
        <v>0.0758150113722517</v>
      </c>
    </row>
    <row r="10" spans="1:11" ht="12.75">
      <c r="A10" t="s">
        <v>432</v>
      </c>
      <c r="B10" t="s">
        <v>402</v>
      </c>
      <c r="C10">
        <v>2</v>
      </c>
      <c r="E10">
        <v>8</v>
      </c>
      <c r="F10">
        <v>6</v>
      </c>
      <c r="G10" s="9">
        <f t="shared" si="2"/>
        <v>14</v>
      </c>
      <c r="H10" s="57">
        <f t="shared" si="0"/>
        <v>5.072463768115942</v>
      </c>
      <c r="I10" s="9">
        <f>'2002'!C5+'2003'!C4+'2004'!C3+'2005'!C8+'2006'!C10</f>
        <v>14</v>
      </c>
      <c r="J10" s="9">
        <f>'2002'!G5+'2003'!G4+'2004'!G3+'2005'!G8+'2006'!G10</f>
        <v>98</v>
      </c>
      <c r="K10" s="58">
        <f t="shared" si="1"/>
        <v>7.429871114480667</v>
      </c>
    </row>
    <row r="11" spans="1:11" ht="12.75">
      <c r="A11" t="s">
        <v>80</v>
      </c>
      <c r="B11" t="s">
        <v>374</v>
      </c>
      <c r="G11" s="9">
        <f t="shared" si="2"/>
        <v>0</v>
      </c>
      <c r="H11" s="57">
        <f t="shared" si="0"/>
        <v>0</v>
      </c>
      <c r="I11">
        <v>2</v>
      </c>
      <c r="J11" s="9">
        <f>'2002'!G6+'2003'!G5</f>
        <v>14</v>
      </c>
      <c r="K11" s="57">
        <f t="shared" si="1"/>
        <v>1.061410159211524</v>
      </c>
    </row>
    <row r="12" spans="1:11" ht="12.75">
      <c r="A12" t="s">
        <v>257</v>
      </c>
      <c r="B12" t="s">
        <v>155</v>
      </c>
      <c r="G12" s="9">
        <f t="shared" si="2"/>
        <v>0</v>
      </c>
      <c r="H12" s="57">
        <f t="shared" si="0"/>
        <v>0</v>
      </c>
      <c r="K12" s="57">
        <f t="shared" si="1"/>
        <v>0</v>
      </c>
    </row>
    <row r="13" spans="1:11" ht="12.75">
      <c r="A13" t="s">
        <v>468</v>
      </c>
      <c r="B13" t="s">
        <v>469</v>
      </c>
      <c r="C13">
        <v>1</v>
      </c>
      <c r="E13">
        <v>3</v>
      </c>
      <c r="F13">
        <v>6</v>
      </c>
      <c r="G13" s="9">
        <f t="shared" si="2"/>
        <v>9</v>
      </c>
      <c r="H13" s="57">
        <f t="shared" si="0"/>
        <v>3.260869565217391</v>
      </c>
      <c r="I13" s="9">
        <f>'2005'!C9+'2006'!C13</f>
        <v>3</v>
      </c>
      <c r="J13" s="9">
        <f>'2005'!G9+'2006'!G13</f>
        <v>31</v>
      </c>
      <c r="K13" s="57">
        <f t="shared" si="1"/>
        <v>2.350265352539803</v>
      </c>
    </row>
    <row r="14" spans="1:11" ht="12.75">
      <c r="A14" t="s">
        <v>345</v>
      </c>
      <c r="B14" t="s">
        <v>346</v>
      </c>
      <c r="G14" s="9">
        <f t="shared" si="2"/>
        <v>0</v>
      </c>
      <c r="H14" s="57">
        <f t="shared" si="0"/>
        <v>0</v>
      </c>
      <c r="I14" s="9">
        <f>'2003'!C8</f>
        <v>2</v>
      </c>
      <c r="J14" s="9">
        <f>'2003'!G8</f>
        <v>13</v>
      </c>
      <c r="K14" s="57">
        <f t="shared" si="1"/>
        <v>0.9855951478392722</v>
      </c>
    </row>
    <row r="15" spans="1:11" ht="12.75">
      <c r="A15" t="s">
        <v>213</v>
      </c>
      <c r="B15" t="s">
        <v>256</v>
      </c>
      <c r="G15" s="9">
        <f t="shared" si="2"/>
        <v>0</v>
      </c>
      <c r="H15" s="57">
        <f t="shared" si="0"/>
        <v>0</v>
      </c>
      <c r="K15" s="57">
        <f t="shared" si="1"/>
        <v>0</v>
      </c>
    </row>
    <row r="16" spans="1:11" ht="12.75">
      <c r="A16" t="s">
        <v>487</v>
      </c>
      <c r="B16" t="s">
        <v>438</v>
      </c>
      <c r="C16">
        <v>3</v>
      </c>
      <c r="D16">
        <v>0</v>
      </c>
      <c r="E16">
        <v>9</v>
      </c>
      <c r="F16">
        <v>9</v>
      </c>
      <c r="G16" s="9">
        <f t="shared" si="2"/>
        <v>18</v>
      </c>
      <c r="H16" s="57">
        <f t="shared" si="0"/>
        <v>6.521739130434782</v>
      </c>
      <c r="I16" s="9">
        <f>'2004'!C7+'2005'!C10+'2006'!C16</f>
        <v>6</v>
      </c>
      <c r="J16" s="9">
        <f>'2004'!G7+'2005'!G10+'2006'!G16</f>
        <v>36</v>
      </c>
      <c r="K16" s="57">
        <f t="shared" si="1"/>
        <v>2.7293404094010616</v>
      </c>
    </row>
    <row r="17" spans="1:11" ht="12.75">
      <c r="A17" t="s">
        <v>488</v>
      </c>
      <c r="B17" t="s">
        <v>489</v>
      </c>
      <c r="C17">
        <v>4</v>
      </c>
      <c r="D17">
        <v>0</v>
      </c>
      <c r="E17">
        <v>16</v>
      </c>
      <c r="F17">
        <v>19</v>
      </c>
      <c r="G17" s="9">
        <f t="shared" si="2"/>
        <v>35</v>
      </c>
      <c r="H17" s="57">
        <f t="shared" si="0"/>
        <v>12.681159420289855</v>
      </c>
      <c r="I17" s="9">
        <f>C17</f>
        <v>4</v>
      </c>
      <c r="J17" s="9">
        <f>G17</f>
        <v>35</v>
      </c>
      <c r="K17" s="57">
        <f t="shared" si="1"/>
        <v>2.6535253980288096</v>
      </c>
    </row>
    <row r="18" spans="1:11" ht="12.75">
      <c r="A18" t="s">
        <v>490</v>
      </c>
      <c r="B18" t="s">
        <v>491</v>
      </c>
      <c r="C18">
        <v>2</v>
      </c>
      <c r="D18">
        <v>0</v>
      </c>
      <c r="E18">
        <v>10</v>
      </c>
      <c r="F18">
        <v>6</v>
      </c>
      <c r="G18" s="9">
        <f t="shared" si="2"/>
        <v>16</v>
      </c>
      <c r="H18" s="57">
        <f t="shared" si="0"/>
        <v>5.797101449275362</v>
      </c>
      <c r="I18" s="9">
        <f>C18</f>
        <v>2</v>
      </c>
      <c r="J18" s="9">
        <f>G18</f>
        <v>16</v>
      </c>
      <c r="K18" s="57">
        <f t="shared" si="1"/>
        <v>1.2130401819560273</v>
      </c>
    </row>
    <row r="19" spans="1:11" ht="12.75">
      <c r="A19" t="s">
        <v>408</v>
      </c>
      <c r="B19" t="s">
        <v>377</v>
      </c>
      <c r="G19" s="9">
        <f t="shared" si="2"/>
        <v>0</v>
      </c>
      <c r="H19" s="57">
        <f t="shared" si="0"/>
        <v>0</v>
      </c>
      <c r="I19" s="9">
        <f>'2002'!C10+'2003'!C10+'2004'!C8+'2005'!C11+C19</f>
        <v>9</v>
      </c>
      <c r="J19" s="9">
        <f>'2002'!G10+'2003'!G10+'2004'!G8+'2005'!G11+'2006'!G19</f>
        <v>65</v>
      </c>
      <c r="K19" s="58">
        <f t="shared" si="1"/>
        <v>4.927975739196361</v>
      </c>
    </row>
    <row r="20" spans="1:11" ht="12.75">
      <c r="A20" t="s">
        <v>492</v>
      </c>
      <c r="B20" t="s">
        <v>493</v>
      </c>
      <c r="C20">
        <v>4</v>
      </c>
      <c r="D20">
        <v>1</v>
      </c>
      <c r="E20">
        <v>10</v>
      </c>
      <c r="F20">
        <v>12</v>
      </c>
      <c r="G20" s="9">
        <f t="shared" si="2"/>
        <v>22</v>
      </c>
      <c r="H20" s="57">
        <f t="shared" si="0"/>
        <v>7.971014492753622</v>
      </c>
      <c r="I20" s="9">
        <f>C20-D20</f>
        <v>3</v>
      </c>
      <c r="J20" s="9">
        <f>G20</f>
        <v>22</v>
      </c>
      <c r="K20" s="57">
        <f t="shared" si="1"/>
        <v>1.6679302501895377</v>
      </c>
    </row>
    <row r="21" spans="1:11" ht="12.75">
      <c r="A21" t="s">
        <v>439</v>
      </c>
      <c r="B21" t="s">
        <v>440</v>
      </c>
      <c r="C21">
        <v>4</v>
      </c>
      <c r="D21">
        <v>0</v>
      </c>
      <c r="E21">
        <v>19</v>
      </c>
      <c r="F21">
        <v>10</v>
      </c>
      <c r="G21" s="9">
        <f t="shared" si="2"/>
        <v>29</v>
      </c>
      <c r="H21" s="57">
        <f t="shared" si="0"/>
        <v>10.507246376811594</v>
      </c>
      <c r="I21" s="9">
        <f>'2004'!C9+'2005'!C12+'2006'!C21</f>
        <v>10</v>
      </c>
      <c r="J21" s="9">
        <f>'2004'!G9+'2005'!G12+'2006'!G21</f>
        <v>58</v>
      </c>
      <c r="K21" s="59">
        <f t="shared" si="1"/>
        <v>4.397270659590599</v>
      </c>
    </row>
    <row r="22" spans="1:11" ht="12.75">
      <c r="A22" t="s">
        <v>494</v>
      </c>
      <c r="B22" t="s">
        <v>495</v>
      </c>
      <c r="C22">
        <v>1</v>
      </c>
      <c r="D22">
        <v>0</v>
      </c>
      <c r="E22">
        <v>1</v>
      </c>
      <c r="F22">
        <v>1</v>
      </c>
      <c r="G22" s="9">
        <f t="shared" si="2"/>
        <v>2</v>
      </c>
      <c r="H22" s="57">
        <f t="shared" si="0"/>
        <v>0.7246376811594203</v>
      </c>
      <c r="I22" s="9">
        <f>C22</f>
        <v>1</v>
      </c>
      <c r="J22" s="9">
        <f>G22</f>
        <v>2</v>
      </c>
      <c r="K22" s="57">
        <f t="shared" si="1"/>
        <v>0.1516300227445034</v>
      </c>
    </row>
    <row r="23" spans="1:11" ht="12.75">
      <c r="A23" t="s">
        <v>496</v>
      </c>
      <c r="B23" t="s">
        <v>497</v>
      </c>
      <c r="C23">
        <v>1</v>
      </c>
      <c r="E23">
        <v>4</v>
      </c>
      <c r="F23">
        <v>3</v>
      </c>
      <c r="G23" s="9">
        <f t="shared" si="2"/>
        <v>7</v>
      </c>
      <c r="H23" s="57">
        <f t="shared" si="0"/>
        <v>2.536231884057971</v>
      </c>
      <c r="I23" s="9">
        <f>C23</f>
        <v>1</v>
      </c>
      <c r="J23" s="9">
        <f>G23</f>
        <v>7</v>
      </c>
      <c r="K23" s="57">
        <f t="shared" si="1"/>
        <v>0.530705079605762</v>
      </c>
    </row>
    <row r="24" spans="1:11" ht="12.75">
      <c r="A24" t="s">
        <v>498</v>
      </c>
      <c r="B24" t="s">
        <v>499</v>
      </c>
      <c r="C24">
        <v>1</v>
      </c>
      <c r="E24">
        <v>2</v>
      </c>
      <c r="F24">
        <v>2</v>
      </c>
      <c r="G24" s="9">
        <f t="shared" si="2"/>
        <v>4</v>
      </c>
      <c r="H24" s="57">
        <f t="shared" si="0"/>
        <v>1.4492753623188406</v>
      </c>
      <c r="I24" s="9">
        <f>C24</f>
        <v>1</v>
      </c>
      <c r="J24" s="9">
        <f>G24</f>
        <v>4</v>
      </c>
      <c r="K24" s="57">
        <f t="shared" si="1"/>
        <v>0.3032600454890068</v>
      </c>
    </row>
    <row r="25" spans="1:12" ht="12.75">
      <c r="A25" t="s">
        <v>441</v>
      </c>
      <c r="B25" t="s">
        <v>442</v>
      </c>
      <c r="G25" s="9">
        <f t="shared" si="2"/>
        <v>0</v>
      </c>
      <c r="H25" s="57">
        <f t="shared" si="0"/>
        <v>0</v>
      </c>
      <c r="I25" s="9">
        <f>'2004'!C10-'2004'!D10+'2005'!C13</f>
        <v>2</v>
      </c>
      <c r="J25" s="9">
        <f>'2004'!G10+'2005'!G13</f>
        <v>6</v>
      </c>
      <c r="K25" s="57">
        <f t="shared" si="1"/>
        <v>0.45489006823351025</v>
      </c>
      <c r="L25" t="s">
        <v>470</v>
      </c>
    </row>
    <row r="26" spans="1:11" ht="12.75">
      <c r="A26" t="s">
        <v>443</v>
      </c>
      <c r="B26" t="s">
        <v>303</v>
      </c>
      <c r="G26" s="9">
        <f t="shared" si="2"/>
        <v>0</v>
      </c>
      <c r="H26" s="57">
        <f t="shared" si="0"/>
        <v>0</v>
      </c>
      <c r="I26" s="9">
        <f>'2002'!C11+'2003'!C11+'2004'!C11</f>
        <v>11</v>
      </c>
      <c r="J26" s="9">
        <f>'2002'!G11+'2003'!G11+'2004'!G11</f>
        <v>53</v>
      </c>
      <c r="K26" s="59">
        <f t="shared" si="1"/>
        <v>4.01819560272934</v>
      </c>
    </row>
    <row r="27" spans="1:11" ht="12.75">
      <c r="A27" t="s">
        <v>245</v>
      </c>
      <c r="B27" t="s">
        <v>246</v>
      </c>
      <c r="G27" s="9">
        <f t="shared" si="2"/>
        <v>0</v>
      </c>
      <c r="H27" s="57">
        <f t="shared" si="0"/>
        <v>0</v>
      </c>
      <c r="I27" s="9">
        <f>'2003'!C12</f>
        <v>3</v>
      </c>
      <c r="J27" s="9">
        <f>'2003'!G12</f>
        <v>19</v>
      </c>
      <c r="K27" s="57">
        <f t="shared" si="1"/>
        <v>1.4404852160727823</v>
      </c>
    </row>
    <row r="28" spans="1:11" ht="12.75">
      <c r="A28" t="s">
        <v>411</v>
      </c>
      <c r="B28" t="s">
        <v>348</v>
      </c>
      <c r="C28">
        <v>1</v>
      </c>
      <c r="E28">
        <v>3</v>
      </c>
      <c r="F28">
        <v>4</v>
      </c>
      <c r="G28" s="9">
        <f t="shared" si="2"/>
        <v>7</v>
      </c>
      <c r="H28" s="57">
        <f t="shared" si="0"/>
        <v>2.536231884057971</v>
      </c>
      <c r="I28" s="9">
        <f>'2003'!C13+'2004'!C12+'2006'!C28</f>
        <v>3</v>
      </c>
      <c r="J28" s="9">
        <f>'2004'!G12+'2006'!G28</f>
        <v>14</v>
      </c>
      <c r="K28" s="57">
        <f t="shared" si="1"/>
        <v>1.061410159211524</v>
      </c>
    </row>
    <row r="29" spans="1:11" ht="12.75">
      <c r="A29" t="s">
        <v>379</v>
      </c>
      <c r="B29" t="s">
        <v>380</v>
      </c>
      <c r="G29" s="9">
        <f t="shared" si="2"/>
        <v>0</v>
      </c>
      <c r="H29" s="57">
        <f t="shared" si="0"/>
        <v>0</v>
      </c>
      <c r="I29" s="9">
        <f>'2002'!C12+'2003'!C14</f>
        <v>3</v>
      </c>
      <c r="J29" s="9">
        <f>'2002'!G12+'2003'!G14</f>
        <v>20</v>
      </c>
      <c r="K29" s="57">
        <f t="shared" si="1"/>
        <v>1.5163002274450341</v>
      </c>
    </row>
    <row r="30" spans="1:11" ht="12.75">
      <c r="A30" t="s">
        <v>471</v>
      </c>
      <c r="B30" t="s">
        <v>472</v>
      </c>
      <c r="G30" s="9">
        <f t="shared" si="2"/>
        <v>0</v>
      </c>
      <c r="H30" s="57">
        <f t="shared" si="0"/>
        <v>0</v>
      </c>
      <c r="I30" s="9">
        <f>'2005'!C16+'2006'!C30</f>
        <v>1</v>
      </c>
      <c r="J30" s="9">
        <f>'2005'!G16+'2006'!G30</f>
        <v>8</v>
      </c>
      <c r="K30" s="57">
        <f t="shared" si="1"/>
        <v>0.6065200909780136</v>
      </c>
    </row>
    <row r="31" spans="1:11" ht="12.75">
      <c r="A31" t="s">
        <v>349</v>
      </c>
      <c r="B31" t="s">
        <v>307</v>
      </c>
      <c r="G31" s="9">
        <f t="shared" si="2"/>
        <v>0</v>
      </c>
      <c r="H31" s="57">
        <f t="shared" si="0"/>
        <v>0</v>
      </c>
      <c r="K31" s="57">
        <f t="shared" si="1"/>
        <v>0</v>
      </c>
    </row>
    <row r="32" spans="1:11" ht="12.75">
      <c r="A32" t="s">
        <v>444</v>
      </c>
      <c r="B32" t="s">
        <v>351</v>
      </c>
      <c r="G32" s="9">
        <f t="shared" si="2"/>
        <v>0</v>
      </c>
      <c r="H32" s="57">
        <f t="shared" si="0"/>
        <v>0</v>
      </c>
      <c r="I32" s="9">
        <f>'2002'!C13+'2004'!C13+'2005'!C17+'2006'!C32</f>
        <v>4</v>
      </c>
      <c r="J32" s="9">
        <f>'2002'!G13+'2004'!G13+'2005'!G17+'2006'!G32</f>
        <v>32</v>
      </c>
      <c r="K32" s="57">
        <f t="shared" si="1"/>
        <v>2.4260803639120545</v>
      </c>
    </row>
    <row r="33" spans="1:11" ht="12.75">
      <c r="A33" t="s">
        <v>225</v>
      </c>
      <c r="B33" t="s">
        <v>226</v>
      </c>
      <c r="G33" s="9">
        <f t="shared" si="2"/>
        <v>0</v>
      </c>
      <c r="H33" s="57">
        <f t="shared" si="0"/>
        <v>0</v>
      </c>
      <c r="I33" s="9">
        <f>'2002'!C14</f>
        <v>1</v>
      </c>
      <c r="J33" s="9">
        <f>'2002'!G14</f>
        <v>5</v>
      </c>
      <c r="K33" s="57">
        <f t="shared" si="1"/>
        <v>0.37907505686125853</v>
      </c>
    </row>
    <row r="34" spans="1:11" ht="12.75">
      <c r="A34" t="s">
        <v>445</v>
      </c>
      <c r="B34" t="s">
        <v>446</v>
      </c>
      <c r="G34" s="9">
        <f t="shared" si="2"/>
        <v>0</v>
      </c>
      <c r="H34" s="57">
        <f t="shared" si="0"/>
        <v>0</v>
      </c>
      <c r="I34" s="9">
        <f>'2002'!C15+'2003'!C16+'2004'!C14+'2006'!C34</f>
        <v>3</v>
      </c>
      <c r="J34" s="9">
        <f>'2002'!G15+'2003'!G16+'2004'!G14</f>
        <v>22</v>
      </c>
      <c r="K34" s="57">
        <f t="shared" si="1"/>
        <v>1.6679302501895377</v>
      </c>
    </row>
    <row r="35" spans="1:11" ht="12.75">
      <c r="A35" t="s">
        <v>310</v>
      </c>
      <c r="B35" t="s">
        <v>311</v>
      </c>
      <c r="G35" s="9">
        <f t="shared" si="2"/>
        <v>0</v>
      </c>
      <c r="H35" s="57">
        <f aca="true" t="shared" si="3" ref="H35:H66">G35/$G$81*100</f>
        <v>0</v>
      </c>
      <c r="I35" s="9">
        <f>'2002'!C16+'2004'!C17</f>
        <v>3</v>
      </c>
      <c r="J35" s="9">
        <f>'2002'!G16+'2003'!G17</f>
        <v>35</v>
      </c>
      <c r="K35" s="57">
        <f aca="true" t="shared" si="4" ref="K35:K66">J35/$J$81*100</f>
        <v>2.6535253980288096</v>
      </c>
    </row>
    <row r="36" spans="1:11" ht="12.75">
      <c r="A36" t="s">
        <v>352</v>
      </c>
      <c r="B36" t="s">
        <v>283</v>
      </c>
      <c r="G36" s="9">
        <f aca="true" t="shared" si="5" ref="G36:G67">E36+F36</f>
        <v>0</v>
      </c>
      <c r="H36" s="57">
        <f t="shared" si="3"/>
        <v>0</v>
      </c>
      <c r="I36" s="9">
        <f>'2002'!C17</f>
        <v>3</v>
      </c>
      <c r="J36" s="9">
        <f>'2002'!G17</f>
        <v>24</v>
      </c>
      <c r="K36" s="57">
        <f t="shared" si="4"/>
        <v>1.819560272934041</v>
      </c>
    </row>
    <row r="37" spans="1:11" ht="12.75">
      <c r="A37" t="s">
        <v>286</v>
      </c>
      <c r="B37" t="s">
        <v>287</v>
      </c>
      <c r="G37" s="9">
        <f t="shared" si="5"/>
        <v>0</v>
      </c>
      <c r="H37" s="57">
        <f t="shared" si="3"/>
        <v>0</v>
      </c>
      <c r="K37" s="57">
        <f t="shared" si="4"/>
        <v>0</v>
      </c>
    </row>
    <row r="38" spans="1:12" ht="12.75">
      <c r="A38" t="s">
        <v>419</v>
      </c>
      <c r="B38" t="s">
        <v>420</v>
      </c>
      <c r="C38">
        <v>1</v>
      </c>
      <c r="E38">
        <v>4</v>
      </c>
      <c r="F38">
        <v>2</v>
      </c>
      <c r="G38" s="9">
        <f t="shared" si="5"/>
        <v>6</v>
      </c>
      <c r="H38" s="57">
        <f t="shared" si="3"/>
        <v>2.1739130434782608</v>
      </c>
      <c r="I38" s="9">
        <f>'2002'!C18+'2003'!C19+'2004'!C15+'2005'!C19+'2006'!C38</f>
        <v>6</v>
      </c>
      <c r="J38" s="9">
        <f>'2002'!G18+'2003'!G19+'2004'!G15+'2005'!G19+'2006'!G38</f>
        <v>33</v>
      </c>
      <c r="K38" s="57">
        <f t="shared" si="4"/>
        <v>2.501895375284306</v>
      </c>
      <c r="L38" t="s">
        <v>470</v>
      </c>
    </row>
    <row r="39" spans="1:11" ht="12.75">
      <c r="A39" t="s">
        <v>198</v>
      </c>
      <c r="B39" t="s">
        <v>199</v>
      </c>
      <c r="G39" s="9">
        <f t="shared" si="5"/>
        <v>0</v>
      </c>
      <c r="H39" s="57">
        <f t="shared" si="3"/>
        <v>0</v>
      </c>
      <c r="I39" s="9">
        <f>'2004'!C16+'2005'!C20</f>
        <v>4</v>
      </c>
      <c r="J39" s="9">
        <f>'2004'!G16+'2005'!G20</f>
        <v>21</v>
      </c>
      <c r="K39" s="57">
        <f t="shared" si="4"/>
        <v>1.592115238817286</v>
      </c>
    </row>
    <row r="40" spans="1:11" ht="12.75">
      <c r="A40" t="s">
        <v>388</v>
      </c>
      <c r="B40" t="s">
        <v>354</v>
      </c>
      <c r="G40" s="9">
        <f t="shared" si="5"/>
        <v>0</v>
      </c>
      <c r="H40" s="57">
        <f t="shared" si="3"/>
        <v>0</v>
      </c>
      <c r="I40" s="9">
        <f>'2002'!C19+'2005'!C21-'2005'!D21+'2006'!C40</f>
        <v>3</v>
      </c>
      <c r="J40" s="9">
        <f>'2002'!G19+'2005'!G21</f>
        <v>8</v>
      </c>
      <c r="K40" s="57">
        <f t="shared" si="4"/>
        <v>0.6065200909780136</v>
      </c>
    </row>
    <row r="41" spans="1:11" ht="12.75">
      <c r="A41" t="s">
        <v>355</v>
      </c>
      <c r="B41" t="s">
        <v>356</v>
      </c>
      <c r="G41" s="9">
        <f t="shared" si="5"/>
        <v>0</v>
      </c>
      <c r="H41" s="57">
        <f t="shared" si="3"/>
        <v>0</v>
      </c>
      <c r="K41" s="57">
        <f t="shared" si="4"/>
        <v>0</v>
      </c>
    </row>
    <row r="42" spans="1:11" ht="12.75">
      <c r="A42" t="s">
        <v>500</v>
      </c>
      <c r="B42" t="s">
        <v>358</v>
      </c>
      <c r="G42" s="9">
        <f t="shared" si="5"/>
        <v>0</v>
      </c>
      <c r="H42" s="57">
        <f t="shared" si="3"/>
        <v>0</v>
      </c>
      <c r="I42" s="9">
        <f>'2002'!C20+'2003'!C21+'2004'!C17+'2005'!C22+'2006'!C42</f>
        <v>6</v>
      </c>
      <c r="J42" s="9">
        <f>'2002'!G20+'2003'!G21+'2004'!G17+'2005'!G22+'2006'!G42</f>
        <v>34</v>
      </c>
      <c r="K42" s="57">
        <f t="shared" si="4"/>
        <v>2.577710386656558</v>
      </c>
    </row>
    <row r="43" spans="1:11" ht="12.75">
      <c r="A43" t="s">
        <v>501</v>
      </c>
      <c r="B43" t="s">
        <v>423</v>
      </c>
      <c r="C43">
        <v>3</v>
      </c>
      <c r="D43">
        <v>0</v>
      </c>
      <c r="E43">
        <v>13</v>
      </c>
      <c r="F43">
        <v>12</v>
      </c>
      <c r="G43" s="9">
        <f t="shared" si="5"/>
        <v>25</v>
      </c>
      <c r="H43" s="57">
        <f t="shared" si="3"/>
        <v>9.057971014492754</v>
      </c>
      <c r="I43" s="9">
        <f>'2003'!C22+'2004'!C18-'2004'!D18+'2005'!C23+'2006'!C43</f>
        <v>6</v>
      </c>
      <c r="J43" s="9">
        <f>'2003'!G22+'2004'!G18+'2005'!G23+'2006'!G43</f>
        <v>42</v>
      </c>
      <c r="K43" s="57">
        <f t="shared" si="4"/>
        <v>3.184230477634572</v>
      </c>
    </row>
    <row r="44" spans="1:11" ht="12.75">
      <c r="A44" t="s">
        <v>390</v>
      </c>
      <c r="B44" t="s">
        <v>289</v>
      </c>
      <c r="G44" s="9">
        <f t="shared" si="5"/>
        <v>0</v>
      </c>
      <c r="H44" s="57">
        <f t="shared" si="3"/>
        <v>0</v>
      </c>
      <c r="K44" s="57">
        <f t="shared" si="4"/>
        <v>0</v>
      </c>
    </row>
    <row r="45" spans="1:11" ht="12.75">
      <c r="A45" t="s">
        <v>424</v>
      </c>
      <c r="B45" t="s">
        <v>425</v>
      </c>
      <c r="G45" s="9">
        <f t="shared" si="5"/>
        <v>0</v>
      </c>
      <c r="H45" s="57">
        <f t="shared" si="3"/>
        <v>0</v>
      </c>
      <c r="I45" s="9">
        <f>'2003'!C23+'2006'!C45</f>
        <v>1</v>
      </c>
      <c r="J45" s="9">
        <f>'2003'!G23+'2006'!G45</f>
        <v>8</v>
      </c>
      <c r="K45" s="57">
        <f t="shared" si="4"/>
        <v>0.6065200909780136</v>
      </c>
    </row>
    <row r="46" spans="1:11" ht="12.75">
      <c r="A46" t="s">
        <v>314</v>
      </c>
      <c r="B46" t="s">
        <v>315</v>
      </c>
      <c r="G46" s="9">
        <f t="shared" si="5"/>
        <v>0</v>
      </c>
      <c r="H46" s="57">
        <f t="shared" si="3"/>
        <v>0</v>
      </c>
      <c r="K46" s="57">
        <f t="shared" si="4"/>
        <v>0</v>
      </c>
    </row>
    <row r="47" spans="1:11" ht="12.75">
      <c r="A47" t="s">
        <v>473</v>
      </c>
      <c r="B47" t="s">
        <v>474</v>
      </c>
      <c r="C47">
        <v>2</v>
      </c>
      <c r="D47">
        <v>0</v>
      </c>
      <c r="E47">
        <v>10</v>
      </c>
      <c r="F47">
        <v>8</v>
      </c>
      <c r="G47" s="9">
        <f t="shared" si="5"/>
        <v>18</v>
      </c>
      <c r="H47" s="57">
        <f t="shared" si="3"/>
        <v>6.521739130434782</v>
      </c>
      <c r="I47" s="9">
        <f>'2005'!C24+'2006'!C47</f>
        <v>4</v>
      </c>
      <c r="J47" s="9">
        <f>'2005'!G24+'2006'!G47</f>
        <v>28</v>
      </c>
      <c r="K47" s="57">
        <f t="shared" si="4"/>
        <v>2.122820318423048</v>
      </c>
    </row>
    <row r="48" spans="1:11" ht="12.75">
      <c r="A48" t="s">
        <v>448</v>
      </c>
      <c r="B48" t="s">
        <v>449</v>
      </c>
      <c r="C48">
        <v>1</v>
      </c>
      <c r="E48">
        <v>4</v>
      </c>
      <c r="F48">
        <v>3</v>
      </c>
      <c r="G48" s="9">
        <f t="shared" si="5"/>
        <v>7</v>
      </c>
      <c r="H48" s="57">
        <f t="shared" si="3"/>
        <v>2.536231884057971</v>
      </c>
      <c r="I48" s="9">
        <f>'2004'!C19-'2004'!D19+'2006'!C48</f>
        <v>1</v>
      </c>
      <c r="J48" s="9">
        <f>G48</f>
        <v>7</v>
      </c>
      <c r="K48" s="57">
        <f t="shared" si="4"/>
        <v>0.530705079605762</v>
      </c>
    </row>
    <row r="49" spans="1:11" ht="12.75">
      <c r="A49" t="s">
        <v>427</v>
      </c>
      <c r="B49" t="s">
        <v>360</v>
      </c>
      <c r="C49">
        <v>3</v>
      </c>
      <c r="D49">
        <v>1</v>
      </c>
      <c r="E49">
        <v>8</v>
      </c>
      <c r="F49">
        <v>8</v>
      </c>
      <c r="G49" s="9">
        <f t="shared" si="5"/>
        <v>16</v>
      </c>
      <c r="H49" s="57">
        <f t="shared" si="3"/>
        <v>5.797101449275362</v>
      </c>
      <c r="I49" s="9">
        <f>'2002'!C23+'2003'!C25+'2004'!C20+'2005'!C26+'2006'!C49-'2006'!D49</f>
        <v>9</v>
      </c>
      <c r="J49" s="9">
        <f>'2002'!G23+'2003'!G25+'2004'!G20+'2005'!G26+'2006'!G49</f>
        <v>79</v>
      </c>
      <c r="K49" s="58">
        <f t="shared" si="4"/>
        <v>5.9893858984078845</v>
      </c>
    </row>
    <row r="50" spans="1:11" ht="12.75">
      <c r="A50" t="s">
        <v>450</v>
      </c>
      <c r="B50" t="s">
        <v>363</v>
      </c>
      <c r="G50" s="9">
        <f t="shared" si="5"/>
        <v>0</v>
      </c>
      <c r="H50" s="57">
        <f t="shared" si="3"/>
        <v>0</v>
      </c>
      <c r="I50" s="9">
        <f>'2002'!C24+'2004'!C21+'2005'!C27-'2005'!D27+'2006'!C50</f>
        <v>4</v>
      </c>
      <c r="J50" s="9">
        <f>'2002'!G24+'2004'!G21+'2005'!G27+'2006'!G50</f>
        <v>29</v>
      </c>
      <c r="K50" s="57">
        <f t="shared" si="4"/>
        <v>2.1986353297952994</v>
      </c>
    </row>
    <row r="51" spans="1:11" ht="12.75">
      <c r="A51" t="s">
        <v>451</v>
      </c>
      <c r="B51" t="s">
        <v>317</v>
      </c>
      <c r="G51" s="9">
        <f t="shared" si="5"/>
        <v>0</v>
      </c>
      <c r="H51" s="57">
        <f t="shared" si="3"/>
        <v>0</v>
      </c>
      <c r="I51" s="9">
        <f>'2002'!C25+'2004'!C22+'2006'!C51</f>
        <v>2</v>
      </c>
      <c r="J51" s="9">
        <f>'2002'!G25+'2004'!G22</f>
        <v>15</v>
      </c>
      <c r="K51" s="57">
        <f t="shared" si="4"/>
        <v>1.1372251705837757</v>
      </c>
    </row>
    <row r="52" spans="1:11" ht="12.75">
      <c r="A52" t="s">
        <v>397</v>
      </c>
      <c r="B52" t="s">
        <v>218</v>
      </c>
      <c r="G52" s="9">
        <f t="shared" si="5"/>
        <v>0</v>
      </c>
      <c r="H52" s="57">
        <f t="shared" si="3"/>
        <v>0</v>
      </c>
      <c r="I52" s="9">
        <f>'2002'!C26+'2003'!C26+'2006'!C52</f>
        <v>3</v>
      </c>
      <c r="J52" s="9">
        <f>'2002'!G26+'2003'!G26+'2006'!G52</f>
        <v>10</v>
      </c>
      <c r="K52" s="57">
        <f t="shared" si="4"/>
        <v>0.7581501137225171</v>
      </c>
    </row>
    <row r="53" spans="1:11" ht="12.75">
      <c r="A53" t="s">
        <v>242</v>
      </c>
      <c r="B53" t="s">
        <v>243</v>
      </c>
      <c r="G53" s="9">
        <f t="shared" si="5"/>
        <v>0</v>
      </c>
      <c r="H53" s="57">
        <f t="shared" si="3"/>
        <v>0</v>
      </c>
      <c r="I53" s="9">
        <f>'2002'!C27+'2006'!C53</f>
        <v>1</v>
      </c>
      <c r="J53" s="9">
        <f>'2006'!G28+'2006'!G53</f>
        <v>7</v>
      </c>
      <c r="K53" s="57">
        <f t="shared" si="4"/>
        <v>0.530705079605762</v>
      </c>
    </row>
    <row r="54" spans="1:11" ht="12.75">
      <c r="A54" t="s">
        <v>452</v>
      </c>
      <c r="B54" t="s">
        <v>365</v>
      </c>
      <c r="G54" s="9">
        <f t="shared" si="5"/>
        <v>0</v>
      </c>
      <c r="H54" s="57">
        <f t="shared" si="3"/>
        <v>0</v>
      </c>
      <c r="I54" s="9">
        <f>'2003'!C27+'2004'!C23+'2005'!C29+'2006'!C54</f>
        <v>9</v>
      </c>
      <c r="J54" s="9">
        <f>'2003'!G27+'2004'!G23+'2005'!G29+'2006'!G54</f>
        <v>49</v>
      </c>
      <c r="K54" s="57">
        <f t="shared" si="4"/>
        <v>3.7149355572403335</v>
      </c>
    </row>
    <row r="55" spans="1:11" ht="12.75">
      <c r="A55" t="s">
        <v>453</v>
      </c>
      <c r="B55" t="s">
        <v>454</v>
      </c>
      <c r="G55" s="9">
        <f t="shared" si="5"/>
        <v>0</v>
      </c>
      <c r="H55" s="57">
        <f t="shared" si="3"/>
        <v>0</v>
      </c>
      <c r="I55" s="9">
        <f>'2004'!C24+'2006'!C55</f>
        <v>1</v>
      </c>
      <c r="J55" s="9">
        <f>'2004'!G24+'2006'!G55</f>
        <v>8</v>
      </c>
      <c r="K55" s="57">
        <f t="shared" si="4"/>
        <v>0.6065200909780136</v>
      </c>
    </row>
    <row r="56" spans="1:11" ht="12.75">
      <c r="A56" t="s">
        <v>455</v>
      </c>
      <c r="B56" t="s">
        <v>456</v>
      </c>
      <c r="G56" s="9">
        <f t="shared" si="5"/>
        <v>0</v>
      </c>
      <c r="H56" s="57">
        <f t="shared" si="3"/>
        <v>0</v>
      </c>
      <c r="I56" s="9">
        <f>'2004'!C25+'2006'!C56</f>
        <v>2</v>
      </c>
      <c r="J56" s="9">
        <f>'2004'!G25+'2006'!G56</f>
        <v>14</v>
      </c>
      <c r="K56" s="57">
        <f t="shared" si="4"/>
        <v>1.061410159211524</v>
      </c>
    </row>
    <row r="57" spans="1:11" ht="12.75">
      <c r="A57" t="s">
        <v>457</v>
      </c>
      <c r="B57" t="s">
        <v>458</v>
      </c>
      <c r="G57" s="9">
        <f t="shared" si="5"/>
        <v>0</v>
      </c>
      <c r="H57" s="57">
        <f t="shared" si="3"/>
        <v>0</v>
      </c>
      <c r="I57" s="9">
        <f>'2004'!C26+'2006'!G57</f>
        <v>1</v>
      </c>
      <c r="J57" s="9">
        <f>'2004'!G26+'2006'!G57</f>
        <v>9</v>
      </c>
      <c r="K57" s="57">
        <f t="shared" si="4"/>
        <v>0.6823351023502654</v>
      </c>
    </row>
    <row r="58" spans="1:12" ht="12.75">
      <c r="A58" t="s">
        <v>502</v>
      </c>
      <c r="E58" s="9">
        <f>SUM(E4:E57)</f>
        <v>128</v>
      </c>
      <c r="F58" s="9">
        <f>SUM(F4:F57)</f>
        <v>117</v>
      </c>
      <c r="G58" s="9">
        <f>SUM(G3:G57)</f>
        <v>245</v>
      </c>
      <c r="H58" s="14">
        <f>SUM(H4:H57)</f>
        <v>88.76811594202897</v>
      </c>
      <c r="J58" s="9">
        <f>SUM(J3:J57)</f>
        <v>1085</v>
      </c>
      <c r="K58" s="57">
        <f t="shared" si="4"/>
        <v>82.2592873388931</v>
      </c>
      <c r="L58" s="57"/>
    </row>
    <row r="59" spans="8:11" ht="12.75">
      <c r="H59" s="57"/>
      <c r="K59" s="57"/>
    </row>
    <row r="60" spans="8:11" ht="12.75">
      <c r="H60" s="57"/>
      <c r="K60" s="57"/>
    </row>
    <row r="61" spans="8:11" ht="12.75">
      <c r="H61" s="57"/>
      <c r="K61" s="57"/>
    </row>
    <row r="62" spans="1:11" ht="12.75">
      <c r="A62" t="s">
        <v>475</v>
      </c>
      <c r="B62" t="s">
        <v>476</v>
      </c>
      <c r="H62" s="57">
        <f aca="true" t="shared" si="6" ref="H62:H76">G62/$G$81*100</f>
        <v>0</v>
      </c>
      <c r="I62" s="9">
        <f>'2005'!C36+'2006'!C62</f>
        <v>1</v>
      </c>
      <c r="J62" s="9">
        <f>'2005'!G36+'2006'!G62</f>
        <v>8</v>
      </c>
      <c r="K62" s="57">
        <f aca="true" t="shared" si="7" ref="K62:K78">J62/$J$81*100</f>
        <v>0.6065200909780136</v>
      </c>
    </row>
    <row r="63" spans="1:11" ht="12.75">
      <c r="A63" t="s">
        <v>370</v>
      </c>
      <c r="G63" s="9">
        <f aca="true" t="shared" si="8" ref="G63:G77">E63+F63</f>
        <v>0</v>
      </c>
      <c r="H63" s="57">
        <f t="shared" si="6"/>
        <v>0</v>
      </c>
      <c r="I63" s="9">
        <f>'2002'!C4+'2006'!C63</f>
        <v>1</v>
      </c>
      <c r="J63" s="9">
        <f>'2002'!G4+'2006'!G63</f>
        <v>10</v>
      </c>
      <c r="K63" s="57">
        <f t="shared" si="7"/>
        <v>0.7581501137225171</v>
      </c>
    </row>
    <row r="64" spans="1:11" ht="12.75">
      <c r="A64" t="s">
        <v>403</v>
      </c>
      <c r="B64" t="s">
        <v>404</v>
      </c>
      <c r="G64" s="9">
        <f t="shared" si="8"/>
        <v>0</v>
      </c>
      <c r="H64" s="57">
        <f t="shared" si="6"/>
        <v>0</v>
      </c>
      <c r="I64" s="9">
        <f>'2003'!C6+'2006'!C64</f>
        <v>1</v>
      </c>
      <c r="J64" s="9">
        <f>'2003'!G6+'2005'!G37+'2006'!G64</f>
        <v>14</v>
      </c>
      <c r="K64" s="57">
        <f t="shared" si="7"/>
        <v>1.061410159211524</v>
      </c>
    </row>
    <row r="65" spans="1:11" ht="12.75">
      <c r="A65" t="s">
        <v>57</v>
      </c>
      <c r="B65" t="s">
        <v>231</v>
      </c>
      <c r="G65" s="9">
        <f t="shared" si="8"/>
        <v>0</v>
      </c>
      <c r="H65" s="57">
        <f t="shared" si="6"/>
        <v>0</v>
      </c>
      <c r="I65" s="9">
        <f>'2002'!C7+'2003'!C7+'2006'!C65</f>
        <v>2</v>
      </c>
      <c r="J65" s="9">
        <f>'2002'!G7+'2003'!G7+'2006'!G65</f>
        <v>8</v>
      </c>
      <c r="K65" s="57">
        <f t="shared" si="7"/>
        <v>0.6065200909780136</v>
      </c>
    </row>
    <row r="66" spans="1:11" ht="12.75">
      <c r="A66" t="s">
        <v>503</v>
      </c>
      <c r="B66" t="s">
        <v>504</v>
      </c>
      <c r="C66">
        <v>1</v>
      </c>
      <c r="E66">
        <v>6</v>
      </c>
      <c r="F66">
        <v>2</v>
      </c>
      <c r="G66" s="9">
        <f t="shared" si="8"/>
        <v>8</v>
      </c>
      <c r="H66" s="57">
        <f t="shared" si="6"/>
        <v>2.898550724637681</v>
      </c>
      <c r="I66">
        <v>1</v>
      </c>
      <c r="J66">
        <v>8</v>
      </c>
      <c r="K66" s="57">
        <f t="shared" si="7"/>
        <v>0.6065200909780136</v>
      </c>
    </row>
    <row r="67" spans="1:11" ht="12.75">
      <c r="A67" t="s">
        <v>258</v>
      </c>
      <c r="B67" t="s">
        <v>272</v>
      </c>
      <c r="G67" s="9">
        <f t="shared" si="8"/>
        <v>0</v>
      </c>
      <c r="H67" s="57">
        <f t="shared" si="6"/>
        <v>0</v>
      </c>
      <c r="I67" s="9">
        <f>'2002'!C8+'2006'!C67</f>
        <v>1</v>
      </c>
      <c r="J67" s="9">
        <f>'2002'!G8+'2006'!G67</f>
        <v>5</v>
      </c>
      <c r="K67" s="57">
        <f t="shared" si="7"/>
        <v>0.37907505686125853</v>
      </c>
    </row>
    <row r="68" spans="1:11" ht="12.75">
      <c r="A68" t="s">
        <v>406</v>
      </c>
      <c r="B68" t="s">
        <v>407</v>
      </c>
      <c r="G68" s="9">
        <f t="shared" si="8"/>
        <v>0</v>
      </c>
      <c r="H68" s="57">
        <f t="shared" si="6"/>
        <v>0</v>
      </c>
      <c r="I68" s="9">
        <f>'2003'!C9+'2006'!C68</f>
        <v>1</v>
      </c>
      <c r="J68" s="9">
        <f>'2003'!G9+'2006'!G68</f>
        <v>5</v>
      </c>
      <c r="K68" s="57">
        <f t="shared" si="7"/>
        <v>0.37907505686125853</v>
      </c>
    </row>
    <row r="69" spans="1:11" ht="12.75">
      <c r="A69" t="s">
        <v>300</v>
      </c>
      <c r="B69" t="s">
        <v>301</v>
      </c>
      <c r="G69" s="9">
        <f t="shared" si="8"/>
        <v>0</v>
      </c>
      <c r="H69" s="57">
        <f t="shared" si="6"/>
        <v>0</v>
      </c>
      <c r="I69" s="9">
        <f>'2002'!C9+'2006'!C69</f>
        <v>4</v>
      </c>
      <c r="J69" s="9">
        <f>'2002'!G9+'2006'!G69</f>
        <v>16</v>
      </c>
      <c r="K69" s="57">
        <f t="shared" si="7"/>
        <v>1.2130401819560273</v>
      </c>
    </row>
    <row r="70" spans="1:11" ht="12.75">
      <c r="A70" t="s">
        <v>505</v>
      </c>
      <c r="B70" t="s">
        <v>506</v>
      </c>
      <c r="C70">
        <v>1</v>
      </c>
      <c r="E70">
        <v>7</v>
      </c>
      <c r="F70">
        <v>2</v>
      </c>
      <c r="G70" s="9">
        <f t="shared" si="8"/>
        <v>9</v>
      </c>
      <c r="H70" s="57">
        <f t="shared" si="6"/>
        <v>3.260869565217391</v>
      </c>
      <c r="I70" s="9">
        <f>C70</f>
        <v>1</v>
      </c>
      <c r="J70" s="9">
        <f>G70</f>
        <v>9</v>
      </c>
      <c r="K70" s="57">
        <f t="shared" si="7"/>
        <v>0.6823351023502654</v>
      </c>
    </row>
    <row r="71" spans="1:11" ht="12.75">
      <c r="A71" t="s">
        <v>478</v>
      </c>
      <c r="B71" s="50" t="s">
        <v>479</v>
      </c>
      <c r="G71" s="9">
        <f t="shared" si="8"/>
        <v>0</v>
      </c>
      <c r="H71" s="57">
        <f t="shared" si="6"/>
        <v>0</v>
      </c>
      <c r="I71" s="9">
        <f>'2005'!C38+'2006'!C71</f>
        <v>1</v>
      </c>
      <c r="J71" s="9">
        <f>'2005'!G38+'2006'!G71</f>
        <v>7</v>
      </c>
      <c r="K71" s="57">
        <f t="shared" si="7"/>
        <v>0.530705079605762</v>
      </c>
    </row>
    <row r="72" spans="1:12" ht="12.75">
      <c r="A72" t="s">
        <v>507</v>
      </c>
      <c r="B72" s="50" t="s">
        <v>508</v>
      </c>
      <c r="C72">
        <v>1</v>
      </c>
      <c r="F72">
        <v>1</v>
      </c>
      <c r="G72" s="9">
        <f t="shared" si="8"/>
        <v>1</v>
      </c>
      <c r="H72" s="57">
        <f t="shared" si="6"/>
        <v>0.36231884057971014</v>
      </c>
      <c r="J72" s="9">
        <f>G72</f>
        <v>1</v>
      </c>
      <c r="K72" s="57">
        <f t="shared" si="7"/>
        <v>0.0758150113722517</v>
      </c>
      <c r="L72" t="s">
        <v>509</v>
      </c>
    </row>
    <row r="73" spans="1:11" ht="12.75">
      <c r="A73" t="s">
        <v>413</v>
      </c>
      <c r="B73" t="s">
        <v>414</v>
      </c>
      <c r="G73" s="9">
        <f t="shared" si="8"/>
        <v>0</v>
      </c>
      <c r="H73" s="57">
        <f t="shared" si="6"/>
        <v>0</v>
      </c>
      <c r="I73" s="9">
        <f>'2003'!C15+'2005'!C39+'2006'!C73</f>
        <v>2</v>
      </c>
      <c r="J73" s="9">
        <f>'2003'!G15+'2005'!G39</f>
        <v>13</v>
      </c>
      <c r="K73" s="57">
        <f t="shared" si="7"/>
        <v>0.9855951478392722</v>
      </c>
    </row>
    <row r="74" spans="1:11" ht="12.75">
      <c r="A74" t="s">
        <v>417</v>
      </c>
      <c r="B74" t="s">
        <v>418</v>
      </c>
      <c r="G74" s="9">
        <f t="shared" si="8"/>
        <v>0</v>
      </c>
      <c r="H74" s="57">
        <f t="shared" si="6"/>
        <v>0</v>
      </c>
      <c r="I74" s="9">
        <f>'2003'!C18+'2006'!C74</f>
        <v>1</v>
      </c>
      <c r="J74" s="9">
        <f>'2003'!G18+'2006'!G74</f>
        <v>6</v>
      </c>
      <c r="K74" s="57">
        <f t="shared" si="7"/>
        <v>0.45489006823351025</v>
      </c>
    </row>
    <row r="75" spans="1:11" ht="12.75">
      <c r="A75" t="s">
        <v>391</v>
      </c>
      <c r="B75" t="s">
        <v>392</v>
      </c>
      <c r="G75" s="9">
        <f t="shared" si="8"/>
        <v>0</v>
      </c>
      <c r="H75" s="57">
        <f t="shared" si="6"/>
        <v>0</v>
      </c>
      <c r="I75" s="9">
        <f>'2002'!C22+'2003'!C24+'2005'!C40+'2006'!C75</f>
        <v>4</v>
      </c>
      <c r="J75" s="9">
        <f>'2002'!G22+'2003'!G24+'2005'!G40+'2006'!G75</f>
        <v>31</v>
      </c>
      <c r="K75" s="57">
        <f t="shared" si="7"/>
        <v>2.350265352539803</v>
      </c>
    </row>
    <row r="76" spans="1:11" ht="12.75">
      <c r="A76" t="s">
        <v>482</v>
      </c>
      <c r="B76" t="s">
        <v>483</v>
      </c>
      <c r="C76">
        <v>1</v>
      </c>
      <c r="E76">
        <v>3</v>
      </c>
      <c r="F76">
        <v>6</v>
      </c>
      <c r="G76" s="9">
        <f t="shared" si="8"/>
        <v>9</v>
      </c>
      <c r="H76" s="57">
        <f t="shared" si="6"/>
        <v>3.260869565217391</v>
      </c>
      <c r="I76" s="9">
        <f>'2005'!C41+'2006'!C76</f>
        <v>2</v>
      </c>
      <c r="J76" s="9">
        <f>'2005'!G41+'2006'!G76</f>
        <v>16</v>
      </c>
      <c r="K76" s="57">
        <f t="shared" si="7"/>
        <v>1.2130401819560273</v>
      </c>
    </row>
    <row r="77" spans="1:11" ht="12.75">
      <c r="A77" t="s">
        <v>510</v>
      </c>
      <c r="F77">
        <v>0</v>
      </c>
      <c r="G77" s="9">
        <f t="shared" si="8"/>
        <v>0</v>
      </c>
      <c r="H77" s="57"/>
      <c r="I77" s="9">
        <f>'2004'!C28</f>
        <v>10</v>
      </c>
      <c r="J77" s="9">
        <f>'2004'!G28</f>
        <v>63</v>
      </c>
      <c r="K77" s="57">
        <f t="shared" si="7"/>
        <v>4.776345716451857</v>
      </c>
    </row>
    <row r="78" spans="1:12" ht="12.75">
      <c r="A78" t="s">
        <v>511</v>
      </c>
      <c r="E78" s="9">
        <f>SUM(E63:E77)</f>
        <v>16</v>
      </c>
      <c r="F78" s="9">
        <f>SUM(F63:F77)</f>
        <v>11</v>
      </c>
      <c r="G78" s="9">
        <f>SUM(G63:G77)</f>
        <v>27</v>
      </c>
      <c r="H78" s="57">
        <f>SUM(H63:H77)</f>
        <v>9.782608695652174</v>
      </c>
      <c r="J78" s="9">
        <f>SUM(J62:J77)</f>
        <v>220</v>
      </c>
      <c r="K78" s="57">
        <f t="shared" si="7"/>
        <v>16.67930250189538</v>
      </c>
      <c r="L78" s="57"/>
    </row>
    <row r="79" spans="8:11" ht="12.75">
      <c r="H79" s="57"/>
      <c r="K79" s="57"/>
    </row>
    <row r="80" spans="1:11" ht="12.75">
      <c r="A80" t="s">
        <v>512</v>
      </c>
      <c r="E80">
        <v>2</v>
      </c>
      <c r="F80">
        <v>2</v>
      </c>
      <c r="G80" s="9">
        <f>E80+F80</f>
        <v>4</v>
      </c>
      <c r="H80" s="57">
        <f>G80/$G$81*100</f>
        <v>1.4492753623188406</v>
      </c>
      <c r="J80" s="9">
        <f>'2004'!G29+'2005'!G44+'2006'!G80</f>
        <v>14</v>
      </c>
      <c r="K80" s="57">
        <f>J80/$J$81*100</f>
        <v>1.061410159211524</v>
      </c>
    </row>
    <row r="81" spans="1:12" ht="12.75">
      <c r="A81" t="s">
        <v>8</v>
      </c>
      <c r="G81" s="9">
        <f>SUM(G58+G78+G80)</f>
        <v>276</v>
      </c>
      <c r="H81" s="57">
        <f>SUM(H58+H78+H80)</f>
        <v>99.99999999999999</v>
      </c>
      <c r="I81" s="57"/>
      <c r="J81" s="9">
        <f>SUM(J58+J78+J80)</f>
        <v>1319</v>
      </c>
      <c r="K81" s="57">
        <f>J81/$J$81*100</f>
        <v>100</v>
      </c>
      <c r="L81" s="57"/>
    </row>
    <row r="83" spans="3:4" ht="12.75">
      <c r="C83" s="9">
        <f>SUM(C6:C82)</f>
        <v>39</v>
      </c>
      <c r="D83" s="9">
        <f>SUM(D6:D82)</f>
        <v>2</v>
      </c>
    </row>
    <row r="84" ht="12.75">
      <c r="B84" t="s">
        <v>464</v>
      </c>
    </row>
    <row r="85" spans="1:6" ht="12.75">
      <c r="A85" t="s">
        <v>51</v>
      </c>
      <c r="B85" s="9">
        <f>4*24*41/65</f>
        <v>60.55384615384615</v>
      </c>
      <c r="C85" t="s">
        <v>513</v>
      </c>
      <c r="F85" s="9">
        <f>B85/41*50</f>
        <v>73.84615384615384</v>
      </c>
    </row>
    <row r="86" spans="2:6" ht="12.75">
      <c r="B86" s="9">
        <f>4*20*35/55</f>
        <v>50.90909090909091</v>
      </c>
      <c r="C86" t="s">
        <v>514</v>
      </c>
      <c r="F86" s="9">
        <f>B86/35*50</f>
        <v>72.72727272727272</v>
      </c>
    </row>
    <row r="87" ht="12.75">
      <c r="A87" t="s">
        <v>515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6"/>
  <sheetViews>
    <sheetView zoomScale="90" zoomScaleNormal="90" zoomScalePageLayoutView="0" workbookViewId="0" topLeftCell="A4">
      <selection activeCell="A24" sqref="A24"/>
    </sheetView>
  </sheetViews>
  <sheetFormatPr defaultColWidth="9.140625" defaultRowHeight="12.75"/>
  <cols>
    <col min="1" max="1" width="21.421875" style="0" customWidth="1"/>
    <col min="2" max="2" width="10.57421875" style="0" customWidth="1"/>
    <col min="3" max="3" width="5.421875" style="0" customWidth="1"/>
    <col min="4" max="4" width="5.57421875" style="0" customWidth="1"/>
    <col min="5" max="5" width="7.28125" style="0" customWidth="1"/>
    <col min="6" max="6" width="7.00390625" style="0" customWidth="1"/>
    <col min="7" max="7" width="5.421875" style="0" customWidth="1"/>
    <col min="8" max="8" width="7.57421875" style="0" customWidth="1"/>
    <col min="9" max="9" width="6.00390625" style="0" customWidth="1"/>
    <col min="10" max="10" width="7.8515625" style="0" customWidth="1"/>
    <col min="11" max="11" width="8.7109375" style="0" customWidth="1"/>
    <col min="12" max="12" width="10.57421875" style="0" customWidth="1"/>
  </cols>
  <sheetData>
    <row r="1" spans="1:12" ht="12.75" customHeight="1">
      <c r="A1" s="60" t="s">
        <v>0</v>
      </c>
      <c r="B1" s="61">
        <v>2007</v>
      </c>
      <c r="C1" s="103" t="s">
        <v>4</v>
      </c>
      <c r="D1" s="104" t="s">
        <v>368</v>
      </c>
      <c r="E1" s="103" t="s">
        <v>6</v>
      </c>
      <c r="F1" s="103" t="s">
        <v>7</v>
      </c>
      <c r="G1" s="60"/>
      <c r="H1" s="60"/>
      <c r="I1" s="103" t="s">
        <v>294</v>
      </c>
      <c r="J1" s="103" t="s">
        <v>295</v>
      </c>
      <c r="K1" s="103" t="s">
        <v>322</v>
      </c>
      <c r="L1" s="105" t="s">
        <v>13</v>
      </c>
    </row>
    <row r="2" spans="1:12" ht="12.75">
      <c r="A2" s="62" t="s">
        <v>431</v>
      </c>
      <c r="B2" s="62" t="s">
        <v>3</v>
      </c>
      <c r="C2" s="103"/>
      <c r="D2" s="104"/>
      <c r="E2" s="103"/>
      <c r="F2" s="103"/>
      <c r="G2" s="60" t="s">
        <v>8</v>
      </c>
      <c r="H2" s="60" t="s">
        <v>9</v>
      </c>
      <c r="I2" s="103"/>
      <c r="J2" s="103"/>
      <c r="K2" s="103"/>
      <c r="L2" s="105"/>
    </row>
    <row r="3" spans="1:12" ht="12.75">
      <c r="A3" s="63" t="s">
        <v>433</v>
      </c>
      <c r="B3" s="63" t="s">
        <v>434</v>
      </c>
      <c r="C3" s="63"/>
      <c r="D3" s="63"/>
      <c r="E3" s="63"/>
      <c r="F3" s="63"/>
      <c r="G3" s="63">
        <f aca="true" t="shared" si="0" ref="G3:G11">E3+F3</f>
        <v>0</v>
      </c>
      <c r="H3" s="64">
        <f aca="true" t="shared" si="1" ref="H3:H50">G3/$G$74*100</f>
        <v>0</v>
      </c>
      <c r="I3" s="63">
        <f>'2004'!C4+'2005'!C4+'2006'!C3+'2007'!C3</f>
        <v>1</v>
      </c>
      <c r="J3" s="63">
        <f>'2004'!G4+'2005'!G4+'2006'!G3+'2007'!G3</f>
        <v>9</v>
      </c>
      <c r="K3" s="64">
        <f aca="true" t="shared" si="2" ref="K3:K11">J3/$J$76*100</f>
        <v>0.7159904534606205</v>
      </c>
      <c r="L3" s="63"/>
    </row>
    <row r="4" spans="1:12" ht="12.75">
      <c r="A4" s="63" t="s">
        <v>516</v>
      </c>
      <c r="B4" s="63" t="s">
        <v>517</v>
      </c>
      <c r="C4" s="63">
        <v>1</v>
      </c>
      <c r="D4" s="63"/>
      <c r="E4" s="63">
        <v>3</v>
      </c>
      <c r="F4" s="63">
        <v>2</v>
      </c>
      <c r="G4" s="63">
        <f t="shared" si="0"/>
        <v>5</v>
      </c>
      <c r="H4" s="64">
        <f t="shared" si="1"/>
        <v>2.4752475247524752</v>
      </c>
      <c r="I4" s="63">
        <f>C4</f>
        <v>1</v>
      </c>
      <c r="J4" s="63">
        <f>G4</f>
        <v>5</v>
      </c>
      <c r="K4" s="64">
        <f t="shared" si="2"/>
        <v>0.3977724741447892</v>
      </c>
      <c r="L4" s="63"/>
    </row>
    <row r="5" spans="1:12" ht="12.75">
      <c r="A5" s="63" t="s">
        <v>399</v>
      </c>
      <c r="B5" s="63" t="s">
        <v>400</v>
      </c>
      <c r="C5" s="63"/>
      <c r="D5" s="63"/>
      <c r="E5" s="65"/>
      <c r="F5" s="63"/>
      <c r="G5" s="63">
        <f t="shared" si="0"/>
        <v>0</v>
      </c>
      <c r="H5" s="64">
        <f t="shared" si="1"/>
        <v>0</v>
      </c>
      <c r="I5" s="63">
        <f>'2003'!C3+'2007'!C5</f>
        <v>1</v>
      </c>
      <c r="J5" s="63">
        <f>'2003'!G3+'2007'!G5</f>
        <v>5</v>
      </c>
      <c r="K5" s="64">
        <f t="shared" si="2"/>
        <v>0.3977724741447892</v>
      </c>
      <c r="L5" s="63"/>
    </row>
    <row r="6" spans="1:12" ht="12.75">
      <c r="A6" s="63" t="s">
        <v>435</v>
      </c>
      <c r="B6" s="63" t="s">
        <v>436</v>
      </c>
      <c r="C6" s="63"/>
      <c r="D6" s="63"/>
      <c r="E6" s="65"/>
      <c r="F6" s="63"/>
      <c r="G6" s="63">
        <f t="shared" si="0"/>
        <v>0</v>
      </c>
      <c r="H6" s="64">
        <f t="shared" si="1"/>
        <v>0</v>
      </c>
      <c r="I6" s="63">
        <f>'2004'!C6+'2005'!C6+'2006'!C6+'2007'!C6</f>
        <v>2</v>
      </c>
      <c r="J6" s="63">
        <f>'2004'!G6+'2006'!G6+'2007'!G6</f>
        <v>12</v>
      </c>
      <c r="K6" s="64">
        <f t="shared" si="2"/>
        <v>0.9546539379474941</v>
      </c>
      <c r="L6" s="63"/>
    </row>
    <row r="7" spans="1:12" ht="12.75">
      <c r="A7" s="63" t="s">
        <v>518</v>
      </c>
      <c r="B7" s="63" t="s">
        <v>519</v>
      </c>
      <c r="C7" s="63">
        <v>1</v>
      </c>
      <c r="D7" s="63"/>
      <c r="E7" s="63">
        <v>5</v>
      </c>
      <c r="F7" s="63">
        <v>4</v>
      </c>
      <c r="G7" s="63">
        <f t="shared" si="0"/>
        <v>9</v>
      </c>
      <c r="H7" s="64">
        <f t="shared" si="1"/>
        <v>4.455445544554455</v>
      </c>
      <c r="I7" s="63">
        <f>C7</f>
        <v>1</v>
      </c>
      <c r="J7" s="63">
        <f>G7</f>
        <v>9</v>
      </c>
      <c r="K7" s="64">
        <f t="shared" si="2"/>
        <v>0.7159904534606205</v>
      </c>
      <c r="L7" s="63"/>
    </row>
    <row r="8" spans="1:12" ht="12.75">
      <c r="A8" s="63" t="s">
        <v>466</v>
      </c>
      <c r="B8" s="63" t="s">
        <v>467</v>
      </c>
      <c r="C8" s="63">
        <v>1</v>
      </c>
      <c r="D8" s="63"/>
      <c r="E8" s="63">
        <v>6</v>
      </c>
      <c r="F8" s="63">
        <v>3</v>
      </c>
      <c r="G8" s="63">
        <f t="shared" si="0"/>
        <v>9</v>
      </c>
      <c r="H8" s="64">
        <f t="shared" si="1"/>
        <v>4.455445544554455</v>
      </c>
      <c r="I8" s="63">
        <f>'2005'!C7+'2007'!C8</f>
        <v>4</v>
      </c>
      <c r="J8" s="63">
        <f>'2005'!G7+'2007'!G8</f>
        <v>27</v>
      </c>
      <c r="K8" s="64">
        <f t="shared" si="2"/>
        <v>2.1479713603818613</v>
      </c>
      <c r="L8" s="63"/>
    </row>
    <row r="9" spans="1:12" ht="12.75">
      <c r="A9" s="63" t="s">
        <v>207</v>
      </c>
      <c r="B9" s="63" t="s">
        <v>208</v>
      </c>
      <c r="C9" s="63"/>
      <c r="D9" s="63"/>
      <c r="E9" s="63"/>
      <c r="F9" s="63"/>
      <c r="G9" s="63">
        <f t="shared" si="0"/>
        <v>0</v>
      </c>
      <c r="H9" s="64">
        <f t="shared" si="1"/>
        <v>0</v>
      </c>
      <c r="I9" s="63"/>
      <c r="J9" s="63"/>
      <c r="K9" s="64">
        <f t="shared" si="2"/>
        <v>0</v>
      </c>
      <c r="L9" s="63"/>
    </row>
    <row r="10" spans="1:12" ht="12.75">
      <c r="A10" s="63" t="s">
        <v>520</v>
      </c>
      <c r="B10" s="63" t="s">
        <v>521</v>
      </c>
      <c r="C10" s="63">
        <v>1</v>
      </c>
      <c r="D10" s="63"/>
      <c r="E10" s="63">
        <v>4</v>
      </c>
      <c r="F10" s="63">
        <v>1</v>
      </c>
      <c r="G10" s="63">
        <f t="shared" si="0"/>
        <v>5</v>
      </c>
      <c r="H10" s="64">
        <f t="shared" si="1"/>
        <v>2.4752475247524752</v>
      </c>
      <c r="I10" s="63">
        <f>C10</f>
        <v>1</v>
      </c>
      <c r="J10" s="63">
        <f>G10</f>
        <v>5</v>
      </c>
      <c r="K10" s="64">
        <f t="shared" si="2"/>
        <v>0.3977724741447892</v>
      </c>
      <c r="L10" s="63"/>
    </row>
    <row r="11" spans="1:12" ht="12.75">
      <c r="A11" s="63" t="s">
        <v>432</v>
      </c>
      <c r="B11" s="63" t="s">
        <v>402</v>
      </c>
      <c r="C11" s="63">
        <v>1</v>
      </c>
      <c r="D11" s="63"/>
      <c r="E11" s="63">
        <v>7</v>
      </c>
      <c r="F11" s="63">
        <v>2</v>
      </c>
      <c r="G11" s="63">
        <f t="shared" si="0"/>
        <v>9</v>
      </c>
      <c r="H11" s="64">
        <f t="shared" si="1"/>
        <v>4.455445544554455</v>
      </c>
      <c r="I11" s="63">
        <f>'2003'!C4+'2004'!C3+'2005'!C8+'2006'!C10+'2007'!C11</f>
        <v>10</v>
      </c>
      <c r="J11" s="63">
        <f>'2003'!G4+'2004'!G3+'2005'!G8+'2006'!G10+'2007'!G11</f>
        <v>70</v>
      </c>
      <c r="K11" s="66">
        <f t="shared" si="2"/>
        <v>5.568814638027049</v>
      </c>
      <c r="L11" s="63"/>
    </row>
    <row r="12" spans="1:12" ht="12.75">
      <c r="A12" s="63" t="s">
        <v>522</v>
      </c>
      <c r="B12" s="63" t="s">
        <v>523</v>
      </c>
      <c r="C12" s="63">
        <v>1</v>
      </c>
      <c r="D12" s="63">
        <v>1</v>
      </c>
      <c r="E12" s="63"/>
      <c r="F12" s="63"/>
      <c r="G12" s="63">
        <v>0</v>
      </c>
      <c r="H12" s="64">
        <f t="shared" si="1"/>
        <v>0</v>
      </c>
      <c r="I12" s="63"/>
      <c r="J12" s="63"/>
      <c r="K12" s="64"/>
      <c r="L12" s="63"/>
    </row>
    <row r="13" spans="1:12" ht="12.75">
      <c r="A13" s="63" t="s">
        <v>80</v>
      </c>
      <c r="B13" s="63" t="s">
        <v>374</v>
      </c>
      <c r="C13" s="63"/>
      <c r="D13" s="63"/>
      <c r="E13" s="63"/>
      <c r="F13" s="63"/>
      <c r="G13" s="63">
        <f aca="true" t="shared" si="3" ref="G13:G50">E13+F13</f>
        <v>0</v>
      </c>
      <c r="H13" s="64">
        <f t="shared" si="1"/>
        <v>0</v>
      </c>
      <c r="I13" s="63">
        <f>'2003'!C5+'2007'!C13</f>
        <v>1</v>
      </c>
      <c r="J13" s="63">
        <f>'2003'!G5+'2007'!G13</f>
        <v>7</v>
      </c>
      <c r="K13" s="64">
        <f aca="true" t="shared" si="4" ref="K13:K51">J13/$J$76*100</f>
        <v>0.5568814638027049</v>
      </c>
      <c r="L13" s="63"/>
    </row>
    <row r="14" spans="1:12" ht="12.75">
      <c r="A14" s="63" t="s">
        <v>468</v>
      </c>
      <c r="B14" s="63" t="s">
        <v>469</v>
      </c>
      <c r="C14" s="63"/>
      <c r="D14" s="63"/>
      <c r="E14" s="63"/>
      <c r="F14" s="63"/>
      <c r="G14" s="63">
        <f t="shared" si="3"/>
        <v>0</v>
      </c>
      <c r="H14" s="64">
        <f t="shared" si="1"/>
        <v>0</v>
      </c>
      <c r="I14" s="63">
        <f>'2005'!C9+'2006'!C13+'2007'!C14</f>
        <v>3</v>
      </c>
      <c r="J14" s="63">
        <f>'2005'!G9+'2006'!G13+'2007'!G14</f>
        <v>31</v>
      </c>
      <c r="K14" s="64">
        <f t="shared" si="4"/>
        <v>2.4661893396976926</v>
      </c>
      <c r="L14" s="63"/>
    </row>
    <row r="15" spans="1:12" ht="12.75">
      <c r="A15" s="63" t="s">
        <v>345</v>
      </c>
      <c r="B15" s="63" t="s">
        <v>346</v>
      </c>
      <c r="C15" s="63"/>
      <c r="D15" s="63"/>
      <c r="E15" s="63"/>
      <c r="F15" s="63"/>
      <c r="G15" s="63">
        <f t="shared" si="3"/>
        <v>0</v>
      </c>
      <c r="H15" s="64">
        <f t="shared" si="1"/>
        <v>0</v>
      </c>
      <c r="I15" s="63">
        <f>'2003'!C8+'2007'!C15</f>
        <v>2</v>
      </c>
      <c r="J15" s="63">
        <f>'2003'!G8+'2007'!G15</f>
        <v>13</v>
      </c>
      <c r="K15" s="64">
        <f t="shared" si="4"/>
        <v>1.0342084327764518</v>
      </c>
      <c r="L15" s="63"/>
    </row>
    <row r="16" spans="1:12" ht="12.75">
      <c r="A16" s="63" t="s">
        <v>487</v>
      </c>
      <c r="B16" s="63" t="s">
        <v>438</v>
      </c>
      <c r="C16" s="63">
        <v>4</v>
      </c>
      <c r="D16" s="63"/>
      <c r="E16" s="63">
        <v>15</v>
      </c>
      <c r="F16" s="63">
        <v>9</v>
      </c>
      <c r="G16" s="63">
        <f t="shared" si="3"/>
        <v>24</v>
      </c>
      <c r="H16" s="64">
        <f t="shared" si="1"/>
        <v>11.881188118811881</v>
      </c>
      <c r="I16" s="63">
        <f>'2004'!C7+'2005'!C10+'2006'!C16+'2007'!C16</f>
        <v>10</v>
      </c>
      <c r="J16" s="63">
        <f>'2004'!G7+'2005'!G10+'2006'!G16+'2007'!G16</f>
        <v>60</v>
      </c>
      <c r="K16" s="67">
        <f t="shared" si="4"/>
        <v>4.77326968973747</v>
      </c>
      <c r="L16" s="63"/>
    </row>
    <row r="17" spans="1:12" ht="12.75">
      <c r="A17" s="63" t="s">
        <v>488</v>
      </c>
      <c r="B17" s="63" t="s">
        <v>489</v>
      </c>
      <c r="C17" s="63">
        <v>2</v>
      </c>
      <c r="D17" s="63"/>
      <c r="E17" s="63">
        <v>7</v>
      </c>
      <c r="F17" s="63">
        <v>4</v>
      </c>
      <c r="G17" s="63">
        <f t="shared" si="3"/>
        <v>11</v>
      </c>
      <c r="H17" s="64">
        <f t="shared" si="1"/>
        <v>5.445544554455446</v>
      </c>
      <c r="I17" s="63">
        <f>'2006'!C17+'2007'!C17</f>
        <v>6</v>
      </c>
      <c r="J17" s="63">
        <f>'2006'!G17+'2007'!G17</f>
        <v>46</v>
      </c>
      <c r="K17" s="64">
        <f t="shared" si="4"/>
        <v>3.659506762132061</v>
      </c>
      <c r="L17" s="63"/>
    </row>
    <row r="18" spans="1:12" ht="12.75">
      <c r="A18" s="63" t="s">
        <v>490</v>
      </c>
      <c r="B18" s="63" t="s">
        <v>491</v>
      </c>
      <c r="C18" s="63"/>
      <c r="D18" s="63"/>
      <c r="E18" s="63"/>
      <c r="F18" s="63"/>
      <c r="G18" s="63">
        <f t="shared" si="3"/>
        <v>0</v>
      </c>
      <c r="H18" s="64">
        <f t="shared" si="1"/>
        <v>0</v>
      </c>
      <c r="I18" s="63">
        <f>'2006'!C18+'2007'!C18</f>
        <v>2</v>
      </c>
      <c r="J18" s="63">
        <f>'2006'!G18+'2007'!G18</f>
        <v>16</v>
      </c>
      <c r="K18" s="64">
        <f t="shared" si="4"/>
        <v>1.2728719172633254</v>
      </c>
      <c r="L18" s="63"/>
    </row>
    <row r="19" spans="1:12" ht="12.75">
      <c r="A19" s="63" t="s">
        <v>408</v>
      </c>
      <c r="B19" s="63" t="s">
        <v>377</v>
      </c>
      <c r="C19" s="63">
        <v>2</v>
      </c>
      <c r="D19" s="63"/>
      <c r="E19" s="63">
        <v>7</v>
      </c>
      <c r="F19" s="63">
        <v>11</v>
      </c>
      <c r="G19" s="63">
        <f t="shared" si="3"/>
        <v>18</v>
      </c>
      <c r="H19" s="64">
        <f t="shared" si="1"/>
        <v>8.91089108910891</v>
      </c>
      <c r="I19" s="63">
        <f>'2003'!C10+'2004'!C8+'2005'!C11+'2007'!C19</f>
        <v>6</v>
      </c>
      <c r="J19" s="63">
        <f>'2003'!G10+'2004'!G8+'2005'!G11+'2007'!G19</f>
        <v>46</v>
      </c>
      <c r="K19" s="64">
        <f t="shared" si="4"/>
        <v>3.659506762132061</v>
      </c>
      <c r="L19" s="63"/>
    </row>
    <row r="20" spans="1:12" ht="12.75">
      <c r="A20" s="63" t="s">
        <v>492</v>
      </c>
      <c r="B20" s="63" t="s">
        <v>493</v>
      </c>
      <c r="C20" s="63">
        <v>2</v>
      </c>
      <c r="D20" s="63"/>
      <c r="E20" s="63">
        <v>7</v>
      </c>
      <c r="F20" s="63">
        <v>10</v>
      </c>
      <c r="G20" s="63">
        <f t="shared" si="3"/>
        <v>17</v>
      </c>
      <c r="H20" s="64">
        <f t="shared" si="1"/>
        <v>8.415841584158416</v>
      </c>
      <c r="I20" s="63">
        <f>'2006'!C20+'2007'!C20</f>
        <v>6</v>
      </c>
      <c r="J20" s="63">
        <f>'2006'!G20+'2007'!G20</f>
        <v>39</v>
      </c>
      <c r="K20" s="64">
        <f t="shared" si="4"/>
        <v>3.1026252983293556</v>
      </c>
      <c r="L20" s="63"/>
    </row>
    <row r="21" spans="1:12" ht="12.75">
      <c r="A21" s="63" t="s">
        <v>439</v>
      </c>
      <c r="B21" s="63" t="s">
        <v>440</v>
      </c>
      <c r="C21" s="63">
        <v>1</v>
      </c>
      <c r="D21" s="63"/>
      <c r="E21" s="63">
        <v>2</v>
      </c>
      <c r="F21" s="63">
        <v>6</v>
      </c>
      <c r="G21" s="63">
        <f t="shared" si="3"/>
        <v>8</v>
      </c>
      <c r="H21" s="64">
        <f t="shared" si="1"/>
        <v>3.9603960396039604</v>
      </c>
      <c r="I21" s="63">
        <f>'2004'!C9+'2005'!C12+'2006'!C21+'2007'!C21</f>
        <v>11</v>
      </c>
      <c r="J21" s="63">
        <f>'2004'!G9+'2005'!G12+'2006'!G21+'2007'!G21</f>
        <v>66</v>
      </c>
      <c r="K21" s="66">
        <f t="shared" si="4"/>
        <v>5.250596658711217</v>
      </c>
      <c r="L21" s="63"/>
    </row>
    <row r="22" spans="1:12" ht="12.75">
      <c r="A22" s="63" t="s">
        <v>494</v>
      </c>
      <c r="B22" s="63" t="s">
        <v>495</v>
      </c>
      <c r="C22" s="63"/>
      <c r="D22" s="63"/>
      <c r="E22" s="63"/>
      <c r="F22" s="63"/>
      <c r="G22" s="63">
        <f t="shared" si="3"/>
        <v>0</v>
      </c>
      <c r="H22" s="64">
        <f t="shared" si="1"/>
        <v>0</v>
      </c>
      <c r="I22" s="63">
        <f>'2006'!C22+'2007'!C22</f>
        <v>1</v>
      </c>
      <c r="J22" s="63">
        <f>'2006'!G22+'2007'!G22</f>
        <v>2</v>
      </c>
      <c r="K22" s="64">
        <f t="shared" si="4"/>
        <v>0.15910898965791567</v>
      </c>
      <c r="L22" s="63"/>
    </row>
    <row r="23" spans="1:12" ht="12.75">
      <c r="A23" s="63" t="s">
        <v>496</v>
      </c>
      <c r="B23" s="63" t="s">
        <v>497</v>
      </c>
      <c r="C23" s="63"/>
      <c r="D23" s="63"/>
      <c r="E23" s="63"/>
      <c r="F23" s="63"/>
      <c r="G23" s="63">
        <f t="shared" si="3"/>
        <v>0</v>
      </c>
      <c r="H23" s="64">
        <f t="shared" si="1"/>
        <v>0</v>
      </c>
      <c r="I23" s="63">
        <f>'2006'!C23+'2007'!C23</f>
        <v>1</v>
      </c>
      <c r="J23" s="63">
        <f>'2006'!G23+'2007'!G23</f>
        <v>7</v>
      </c>
      <c r="K23" s="64">
        <f t="shared" si="4"/>
        <v>0.5568814638027049</v>
      </c>
      <c r="L23" s="63"/>
    </row>
    <row r="24" spans="1:12" ht="12.75">
      <c r="A24" s="63" t="s">
        <v>498</v>
      </c>
      <c r="B24" s="63" t="s">
        <v>499</v>
      </c>
      <c r="C24" s="63">
        <v>2</v>
      </c>
      <c r="D24" s="63"/>
      <c r="E24" s="63">
        <v>8</v>
      </c>
      <c r="F24" s="63">
        <v>9</v>
      </c>
      <c r="G24" s="63">
        <f t="shared" si="3"/>
        <v>17</v>
      </c>
      <c r="H24" s="64">
        <f t="shared" si="1"/>
        <v>8.415841584158416</v>
      </c>
      <c r="I24" s="63">
        <f>'2006'!C24+'2007'!C24</f>
        <v>3</v>
      </c>
      <c r="J24" s="63">
        <f>'2006'!G24+'2007'!G24</f>
        <v>21</v>
      </c>
      <c r="K24" s="64">
        <f t="shared" si="4"/>
        <v>1.6706443914081146</v>
      </c>
      <c r="L24" s="63"/>
    </row>
    <row r="25" spans="1:12" ht="12.75">
      <c r="A25" s="63" t="s">
        <v>441</v>
      </c>
      <c r="B25" s="63" t="s">
        <v>442</v>
      </c>
      <c r="C25" s="63"/>
      <c r="D25" s="63"/>
      <c r="E25" s="63"/>
      <c r="F25" s="63"/>
      <c r="G25" s="63">
        <f t="shared" si="3"/>
        <v>0</v>
      </c>
      <c r="H25" s="64">
        <f t="shared" si="1"/>
        <v>0</v>
      </c>
      <c r="I25" s="63">
        <f>'2004'!C10+'2005'!C13+'2007'!C25</f>
        <v>3</v>
      </c>
      <c r="J25" s="63">
        <f>'2004'!G10+'2005'!G13+'2007'!G25</f>
        <v>6</v>
      </c>
      <c r="K25" s="64">
        <f t="shared" si="4"/>
        <v>0.47732696897374705</v>
      </c>
      <c r="L25" s="63"/>
    </row>
    <row r="26" spans="1:12" ht="12.75">
      <c r="A26" s="63" t="s">
        <v>443</v>
      </c>
      <c r="B26" s="63" t="s">
        <v>303</v>
      </c>
      <c r="C26" s="63"/>
      <c r="D26" s="63"/>
      <c r="E26" s="63"/>
      <c r="F26" s="63"/>
      <c r="G26" s="63">
        <f t="shared" si="3"/>
        <v>0</v>
      </c>
      <c r="H26" s="64">
        <f t="shared" si="1"/>
        <v>0</v>
      </c>
      <c r="I26" s="63">
        <f>'2003'!C11+'2004'!C11+'2007'!C26</f>
        <v>8</v>
      </c>
      <c r="J26" s="63">
        <f>'2003'!G11+'2004'!G11+'2007'!G26</f>
        <v>36</v>
      </c>
      <c r="K26" s="64">
        <f t="shared" si="4"/>
        <v>2.863961813842482</v>
      </c>
      <c r="L26" s="63"/>
    </row>
    <row r="27" spans="1:12" ht="12.75">
      <c r="A27" s="63" t="s">
        <v>245</v>
      </c>
      <c r="B27" s="63" t="s">
        <v>246</v>
      </c>
      <c r="C27" s="63"/>
      <c r="D27" s="63"/>
      <c r="E27" s="63"/>
      <c r="F27" s="63"/>
      <c r="G27" s="63">
        <f t="shared" si="3"/>
        <v>0</v>
      </c>
      <c r="H27" s="64">
        <f t="shared" si="1"/>
        <v>0</v>
      </c>
      <c r="I27" s="63">
        <f>'2003'!C12+'2007'!C27</f>
        <v>3</v>
      </c>
      <c r="J27" s="63">
        <f>'2003'!G12+'2007'!G27</f>
        <v>19</v>
      </c>
      <c r="K27" s="64">
        <f t="shared" si="4"/>
        <v>1.511535401750199</v>
      </c>
      <c r="L27" s="63"/>
    </row>
    <row r="28" spans="1:12" ht="12.75">
      <c r="A28" s="63" t="s">
        <v>411</v>
      </c>
      <c r="B28" s="63" t="s">
        <v>348</v>
      </c>
      <c r="C28" s="63"/>
      <c r="D28" s="63"/>
      <c r="E28" s="63"/>
      <c r="F28" s="63"/>
      <c r="G28" s="63">
        <f t="shared" si="3"/>
        <v>0</v>
      </c>
      <c r="H28" s="64">
        <f t="shared" si="1"/>
        <v>0</v>
      </c>
      <c r="I28" s="63">
        <f>'2003'!C13+'2004'!C12+'2006'!C28+'2007'!C28</f>
        <v>3</v>
      </c>
      <c r="J28" s="63">
        <f>'2003'!G13+'2004'!G12+'2006'!G28+'2007'!G28</f>
        <v>14</v>
      </c>
      <c r="K28" s="64">
        <f t="shared" si="4"/>
        <v>1.1137629276054097</v>
      </c>
      <c r="L28" s="63"/>
    </row>
    <row r="29" spans="1:12" ht="12.75">
      <c r="A29" s="63" t="s">
        <v>379</v>
      </c>
      <c r="B29" s="63" t="s">
        <v>380</v>
      </c>
      <c r="C29" s="63"/>
      <c r="D29" s="63"/>
      <c r="E29" s="63"/>
      <c r="F29" s="63"/>
      <c r="G29" s="63">
        <f t="shared" si="3"/>
        <v>0</v>
      </c>
      <c r="H29" s="64">
        <f t="shared" si="1"/>
        <v>0</v>
      </c>
      <c r="I29" s="63">
        <f>'2003'!C14+'2007'!C29</f>
        <v>1</v>
      </c>
      <c r="J29" s="63">
        <f>'2003'!G14+'2007'!G29</f>
        <v>4</v>
      </c>
      <c r="K29" s="64">
        <f t="shared" si="4"/>
        <v>0.31821797931583135</v>
      </c>
      <c r="L29" s="63"/>
    </row>
    <row r="30" spans="1:12" ht="12.75">
      <c r="A30" s="63" t="s">
        <v>471</v>
      </c>
      <c r="B30" s="63" t="s">
        <v>472</v>
      </c>
      <c r="C30" s="63"/>
      <c r="D30" s="63"/>
      <c r="E30" s="63"/>
      <c r="F30" s="63"/>
      <c r="G30" s="63">
        <f t="shared" si="3"/>
        <v>0</v>
      </c>
      <c r="H30" s="64">
        <f t="shared" si="1"/>
        <v>0</v>
      </c>
      <c r="I30" s="63">
        <f>'2005'!C16+'2007'!C30</f>
        <v>1</v>
      </c>
      <c r="J30" s="63">
        <f>'2005'!G16+'2007'!G30</f>
        <v>8</v>
      </c>
      <c r="K30" s="64">
        <f t="shared" si="4"/>
        <v>0.6364359586316627</v>
      </c>
      <c r="L30" s="63"/>
    </row>
    <row r="31" spans="1:12" ht="12.75">
      <c r="A31" s="63" t="s">
        <v>524</v>
      </c>
      <c r="B31" s="63" t="s">
        <v>525</v>
      </c>
      <c r="C31" s="63">
        <v>1</v>
      </c>
      <c r="D31" s="63"/>
      <c r="E31" s="63">
        <v>2</v>
      </c>
      <c r="F31" s="63">
        <v>4</v>
      </c>
      <c r="G31" s="63">
        <f t="shared" si="3"/>
        <v>6</v>
      </c>
      <c r="H31" s="64">
        <f t="shared" si="1"/>
        <v>2.9702970297029703</v>
      </c>
      <c r="I31" s="63">
        <f>C31</f>
        <v>1</v>
      </c>
      <c r="J31" s="63">
        <f>G31</f>
        <v>6</v>
      </c>
      <c r="K31" s="64">
        <f t="shared" si="4"/>
        <v>0.47732696897374705</v>
      </c>
      <c r="L31" s="63"/>
    </row>
    <row r="32" spans="1:12" ht="12.75">
      <c r="A32" s="63" t="s">
        <v>444</v>
      </c>
      <c r="B32" s="63" t="s">
        <v>351</v>
      </c>
      <c r="C32" s="63"/>
      <c r="D32" s="63"/>
      <c r="E32" s="63"/>
      <c r="F32" s="63"/>
      <c r="G32" s="63">
        <f t="shared" si="3"/>
        <v>0</v>
      </c>
      <c r="H32" s="64">
        <f t="shared" si="1"/>
        <v>0</v>
      </c>
      <c r="I32" s="63">
        <f>'2004'!C13+'2005'!C17+'2007'!C32</f>
        <v>3</v>
      </c>
      <c r="J32" s="63">
        <f>'2004'!G13+'2005'!G17+'2007'!G32</f>
        <v>24</v>
      </c>
      <c r="K32" s="64">
        <f t="shared" si="4"/>
        <v>1.9093078758949882</v>
      </c>
      <c r="L32" s="63"/>
    </row>
    <row r="33" spans="1:12" ht="12.75">
      <c r="A33" s="63" t="s">
        <v>445</v>
      </c>
      <c r="B33" s="63" t="s">
        <v>446</v>
      </c>
      <c r="C33" s="63"/>
      <c r="D33" s="63"/>
      <c r="E33" s="63"/>
      <c r="F33" s="63"/>
      <c r="G33" s="63">
        <f t="shared" si="3"/>
        <v>0</v>
      </c>
      <c r="H33" s="64">
        <f t="shared" si="1"/>
        <v>0</v>
      </c>
      <c r="I33" s="63">
        <f>'2003'!C16+'2004'!C14+'2007'!C33</f>
        <v>2</v>
      </c>
      <c r="J33" s="63">
        <f>'2003'!G16+'2004'!G14+'2007'!G33</f>
        <v>15</v>
      </c>
      <c r="K33" s="64">
        <f t="shared" si="4"/>
        <v>1.1933174224343674</v>
      </c>
      <c r="L33" s="63"/>
    </row>
    <row r="34" spans="1:12" ht="12.75">
      <c r="A34" s="63" t="s">
        <v>310</v>
      </c>
      <c r="B34" s="63" t="s">
        <v>311</v>
      </c>
      <c r="C34" s="63"/>
      <c r="D34" s="63"/>
      <c r="E34" s="63"/>
      <c r="F34" s="63"/>
      <c r="G34" s="63">
        <f t="shared" si="3"/>
        <v>0</v>
      </c>
      <c r="H34" s="64">
        <f t="shared" si="1"/>
        <v>0</v>
      </c>
      <c r="I34" s="63">
        <f>'2003'!C17+'2007'!C34</f>
        <v>3</v>
      </c>
      <c r="J34" s="63">
        <f>'2003'!G17+'2007'!G34</f>
        <v>26</v>
      </c>
      <c r="K34" s="64">
        <f t="shared" si="4"/>
        <v>2.0684168655529036</v>
      </c>
      <c r="L34" s="63"/>
    </row>
    <row r="35" spans="1:12" ht="12.75">
      <c r="A35" s="63" t="s">
        <v>419</v>
      </c>
      <c r="B35" s="63" t="s">
        <v>420</v>
      </c>
      <c r="C35" s="63"/>
      <c r="D35" s="63"/>
      <c r="E35" s="63"/>
      <c r="F35" s="63"/>
      <c r="G35" s="63">
        <f t="shared" si="3"/>
        <v>0</v>
      </c>
      <c r="H35" s="64">
        <f t="shared" si="1"/>
        <v>0</v>
      </c>
      <c r="I35" s="63">
        <f>'2003'!C19+'2004'!C15+'2005'!C19+'2007'!C35</f>
        <v>4</v>
      </c>
      <c r="J35" s="63">
        <f>'2003'!G19+'2004'!G15+'2005'!G19+'2007'!G35</f>
        <v>20</v>
      </c>
      <c r="K35" s="64">
        <f t="shared" si="4"/>
        <v>1.591089896579157</v>
      </c>
      <c r="L35" s="63" t="s">
        <v>470</v>
      </c>
    </row>
    <row r="36" spans="1:12" ht="12.75">
      <c r="A36" s="63" t="s">
        <v>198</v>
      </c>
      <c r="B36" s="63" t="s">
        <v>199</v>
      </c>
      <c r="C36" s="63"/>
      <c r="D36" s="63"/>
      <c r="E36" s="63"/>
      <c r="F36" s="63"/>
      <c r="G36" s="63">
        <f t="shared" si="3"/>
        <v>0</v>
      </c>
      <c r="H36" s="64">
        <f t="shared" si="1"/>
        <v>0</v>
      </c>
      <c r="I36" s="63">
        <f>'2004'!C16+'2005'!C20+'2007'!C36</f>
        <v>4</v>
      </c>
      <c r="J36" s="63">
        <f>'2004'!G16+'2005'!G20+'2007'!G36</f>
        <v>21</v>
      </c>
      <c r="K36" s="64">
        <f t="shared" si="4"/>
        <v>1.6706443914081146</v>
      </c>
      <c r="L36" s="63"/>
    </row>
    <row r="37" spans="1:12" ht="12.75">
      <c r="A37" s="63" t="s">
        <v>388</v>
      </c>
      <c r="B37" s="63" t="s">
        <v>354</v>
      </c>
      <c r="C37" s="63"/>
      <c r="D37" s="63"/>
      <c r="E37" s="63"/>
      <c r="F37" s="63"/>
      <c r="G37" s="63">
        <f t="shared" si="3"/>
        <v>0</v>
      </c>
      <c r="H37" s="64">
        <f t="shared" si="1"/>
        <v>0</v>
      </c>
      <c r="I37" s="63">
        <f>'2005'!C21+'2007'!C37</f>
        <v>3</v>
      </c>
      <c r="J37" s="63">
        <f>'2003'!G20+'2005'!G21+'2007'!G37</f>
        <v>7</v>
      </c>
      <c r="K37" s="64">
        <f t="shared" si="4"/>
        <v>0.5568814638027049</v>
      </c>
      <c r="L37" s="63"/>
    </row>
    <row r="38" spans="1:12" ht="12.75">
      <c r="A38" s="63" t="s">
        <v>500</v>
      </c>
      <c r="B38" s="63" t="s">
        <v>358</v>
      </c>
      <c r="C38" s="63"/>
      <c r="D38" s="63"/>
      <c r="E38" s="63"/>
      <c r="F38" s="63"/>
      <c r="G38" s="63">
        <f t="shared" si="3"/>
        <v>0</v>
      </c>
      <c r="H38" s="64">
        <f t="shared" si="1"/>
        <v>0</v>
      </c>
      <c r="I38" s="63">
        <f>'2003'!C21+'2004'!C17+'2005'!C22+'2007'!C38</f>
        <v>4</v>
      </c>
      <c r="J38" s="63">
        <f>'2003'!G21+'2004'!G17+'2005'!G22+'2007'!G38</f>
        <v>27</v>
      </c>
      <c r="K38" s="64">
        <f t="shared" si="4"/>
        <v>2.1479713603818613</v>
      </c>
      <c r="L38" s="63"/>
    </row>
    <row r="39" spans="1:12" ht="12.75">
      <c r="A39" s="63" t="s">
        <v>501</v>
      </c>
      <c r="B39" s="63" t="s">
        <v>423</v>
      </c>
      <c r="C39" s="63">
        <v>2</v>
      </c>
      <c r="D39" s="63"/>
      <c r="E39" s="63">
        <v>3</v>
      </c>
      <c r="F39" s="63">
        <v>10</v>
      </c>
      <c r="G39" s="63">
        <f t="shared" si="3"/>
        <v>13</v>
      </c>
      <c r="H39" s="64">
        <f t="shared" si="1"/>
        <v>6.435643564356436</v>
      </c>
      <c r="I39" s="63">
        <f>'2003'!C22+'2004'!C18+'2005'!C23+'2006'!C43+'2007'!C39</f>
        <v>9</v>
      </c>
      <c r="J39" s="63">
        <f>'2003'!G22+'2004'!G18+'2005'!G23+'2006'!G43+'2007'!G39</f>
        <v>55</v>
      </c>
      <c r="K39" s="67">
        <f t="shared" si="4"/>
        <v>4.375497215592681</v>
      </c>
      <c r="L39" s="63"/>
    </row>
    <row r="40" spans="1:12" ht="12.75">
      <c r="A40" s="63" t="s">
        <v>424</v>
      </c>
      <c r="B40" s="63" t="s">
        <v>425</v>
      </c>
      <c r="C40" s="63"/>
      <c r="D40" s="63"/>
      <c r="E40" s="63"/>
      <c r="F40" s="63"/>
      <c r="G40" s="63">
        <f t="shared" si="3"/>
        <v>0</v>
      </c>
      <c r="H40" s="64">
        <f t="shared" si="1"/>
        <v>0</v>
      </c>
      <c r="I40" s="63">
        <f>'2003'!C23+'2007'!C40</f>
        <v>1</v>
      </c>
      <c r="J40" s="63">
        <f>'2003'!G23+'2007'!G40</f>
        <v>8</v>
      </c>
      <c r="K40" s="64">
        <f t="shared" si="4"/>
        <v>0.6364359586316627</v>
      </c>
      <c r="L40" s="63"/>
    </row>
    <row r="41" spans="1:12" ht="12.75">
      <c r="A41" s="63" t="s">
        <v>473</v>
      </c>
      <c r="B41" s="63" t="s">
        <v>474</v>
      </c>
      <c r="C41" s="63"/>
      <c r="D41" s="63"/>
      <c r="E41" s="63"/>
      <c r="F41" s="63"/>
      <c r="G41" s="63">
        <f t="shared" si="3"/>
        <v>0</v>
      </c>
      <c r="H41" s="64">
        <f t="shared" si="1"/>
        <v>0</v>
      </c>
      <c r="I41" s="63">
        <f>'2005'!C24+'2006'!C47+'2007'!C41</f>
        <v>4</v>
      </c>
      <c r="J41" s="63">
        <f>'2005'!G24+'2006'!G47+'2007'!G41</f>
        <v>28</v>
      </c>
      <c r="K41" s="64">
        <f t="shared" si="4"/>
        <v>2.2275258552108195</v>
      </c>
      <c r="L41" s="63"/>
    </row>
    <row r="42" spans="1:12" ht="12.75">
      <c r="A42" s="63" t="s">
        <v>448</v>
      </c>
      <c r="B42" s="63" t="s">
        <v>449</v>
      </c>
      <c r="C42" s="63"/>
      <c r="D42" s="63"/>
      <c r="E42" s="63"/>
      <c r="F42" s="63"/>
      <c r="G42" s="63">
        <f t="shared" si="3"/>
        <v>0</v>
      </c>
      <c r="H42" s="64">
        <f t="shared" si="1"/>
        <v>0</v>
      </c>
      <c r="I42" s="63">
        <f>'2004'!C19+'2006'!C48+'2007'!C42</f>
        <v>2</v>
      </c>
      <c r="J42" s="63">
        <f>'2004'!G19+'2006'!G48+'2007'!G42</f>
        <v>7</v>
      </c>
      <c r="K42" s="64">
        <f t="shared" si="4"/>
        <v>0.5568814638027049</v>
      </c>
      <c r="L42" s="63"/>
    </row>
    <row r="43" spans="1:12" ht="12.75">
      <c r="A43" s="63" t="s">
        <v>427</v>
      </c>
      <c r="B43" s="63" t="s">
        <v>360</v>
      </c>
      <c r="C43" s="63">
        <v>1</v>
      </c>
      <c r="D43" s="63"/>
      <c r="E43" s="63">
        <v>6</v>
      </c>
      <c r="F43" s="63">
        <v>2</v>
      </c>
      <c r="G43" s="63">
        <f t="shared" si="3"/>
        <v>8</v>
      </c>
      <c r="H43" s="64">
        <f t="shared" si="1"/>
        <v>3.9603960396039604</v>
      </c>
      <c r="I43" s="63">
        <f>'2003'!C25+'2004'!C20+'2005'!C26+'2006'!C49+'2007'!C43</f>
        <v>10</v>
      </c>
      <c r="J43" s="63">
        <f>'2003'!G25+'2004'!G20+'2005'!G26+'2006'!G49+'2007'!G43</f>
        <v>78</v>
      </c>
      <c r="K43" s="66">
        <f t="shared" si="4"/>
        <v>6.205250596658711</v>
      </c>
      <c r="L43" s="63"/>
    </row>
    <row r="44" spans="1:12" ht="12.75">
      <c r="A44" s="63" t="s">
        <v>450</v>
      </c>
      <c r="B44" s="63" t="s">
        <v>363</v>
      </c>
      <c r="C44" s="63"/>
      <c r="D44" s="63"/>
      <c r="E44" s="63"/>
      <c r="F44" s="63"/>
      <c r="G44" s="63">
        <f t="shared" si="3"/>
        <v>0</v>
      </c>
      <c r="H44" s="64">
        <f t="shared" si="1"/>
        <v>0</v>
      </c>
      <c r="I44" s="63">
        <f>'2004'!C21+'2005'!C27+'2007'!C44</f>
        <v>6</v>
      </c>
      <c r="J44" s="63">
        <f>'2004'!G21+'2005'!G27+'2007'!G44</f>
        <v>21</v>
      </c>
      <c r="K44" s="64">
        <f t="shared" si="4"/>
        <v>1.6706443914081146</v>
      </c>
      <c r="L44" s="63"/>
    </row>
    <row r="45" spans="1:12" ht="12.75">
      <c r="A45" s="63" t="s">
        <v>451</v>
      </c>
      <c r="B45" s="63" t="s">
        <v>317</v>
      </c>
      <c r="C45" s="63"/>
      <c r="D45" s="63"/>
      <c r="E45" s="63"/>
      <c r="F45" s="63"/>
      <c r="G45" s="63">
        <f t="shared" si="3"/>
        <v>0</v>
      </c>
      <c r="H45" s="64">
        <f t="shared" si="1"/>
        <v>0</v>
      </c>
      <c r="I45" s="63">
        <f>'2004'!C22+'2007'!C45</f>
        <v>1</v>
      </c>
      <c r="J45" s="63">
        <f>'2004'!G22+'2007'!G45</f>
        <v>5</v>
      </c>
      <c r="K45" s="64">
        <f t="shared" si="4"/>
        <v>0.3977724741447892</v>
      </c>
      <c r="L45" s="63"/>
    </row>
    <row r="46" spans="1:12" ht="12.75">
      <c r="A46" s="63" t="s">
        <v>397</v>
      </c>
      <c r="B46" s="63" t="s">
        <v>218</v>
      </c>
      <c r="C46" s="63"/>
      <c r="D46" s="63"/>
      <c r="E46" s="63"/>
      <c r="F46" s="63"/>
      <c r="G46" s="63">
        <f t="shared" si="3"/>
        <v>0</v>
      </c>
      <c r="H46" s="64">
        <f t="shared" si="1"/>
        <v>0</v>
      </c>
      <c r="I46" s="63">
        <f>'2003'!C26+'2007'!C46</f>
        <v>2</v>
      </c>
      <c r="J46" s="63">
        <f>'2003'!G26+'2007'!G46</f>
        <v>9</v>
      </c>
      <c r="K46" s="64">
        <f t="shared" si="4"/>
        <v>0.7159904534606205</v>
      </c>
      <c r="L46" s="63"/>
    </row>
    <row r="47" spans="1:12" ht="12.75">
      <c r="A47" s="63" t="s">
        <v>452</v>
      </c>
      <c r="B47" s="63" t="s">
        <v>365</v>
      </c>
      <c r="C47" s="63">
        <v>2</v>
      </c>
      <c r="D47" s="63"/>
      <c r="E47" s="63">
        <v>9</v>
      </c>
      <c r="F47" s="63">
        <v>9</v>
      </c>
      <c r="G47" s="63">
        <f t="shared" si="3"/>
        <v>18</v>
      </c>
      <c r="H47" s="64">
        <f t="shared" si="1"/>
        <v>8.91089108910891</v>
      </c>
      <c r="I47" s="63">
        <f>'2003'!C27+'2004'!C23+'2005'!C29+'2007'!C47</f>
        <v>11</v>
      </c>
      <c r="J47" s="63">
        <f>'2003'!G27+'2004'!G23+'2005'!G29+'2007'!G47</f>
        <v>67</v>
      </c>
      <c r="K47" s="66">
        <f t="shared" si="4"/>
        <v>5.330151153540175</v>
      </c>
      <c r="L47" s="63"/>
    </row>
    <row r="48" spans="1:12" ht="12.75">
      <c r="A48" s="63" t="s">
        <v>453</v>
      </c>
      <c r="B48" s="63" t="s">
        <v>454</v>
      </c>
      <c r="C48" s="63"/>
      <c r="D48" s="63"/>
      <c r="E48" s="63"/>
      <c r="F48" s="63"/>
      <c r="G48" s="63">
        <f t="shared" si="3"/>
        <v>0</v>
      </c>
      <c r="H48" s="64">
        <f t="shared" si="1"/>
        <v>0</v>
      </c>
      <c r="I48" s="63">
        <f>'2004'!C24+'2007'!C48</f>
        <v>1</v>
      </c>
      <c r="J48" s="63">
        <f>'2004'!G24+'2007'!G48</f>
        <v>8</v>
      </c>
      <c r="K48" s="64">
        <f t="shared" si="4"/>
        <v>0.6364359586316627</v>
      </c>
      <c r="L48" s="63"/>
    </row>
    <row r="49" spans="1:12" ht="12.75">
      <c r="A49" s="63" t="s">
        <v>455</v>
      </c>
      <c r="B49" s="63" t="s">
        <v>456</v>
      </c>
      <c r="C49" s="63"/>
      <c r="D49" s="63"/>
      <c r="E49" s="63"/>
      <c r="F49" s="63"/>
      <c r="G49" s="63">
        <f t="shared" si="3"/>
        <v>0</v>
      </c>
      <c r="H49" s="64">
        <f t="shared" si="1"/>
        <v>0</v>
      </c>
      <c r="I49" s="63">
        <f>'2004'!C25+'2007'!C49</f>
        <v>2</v>
      </c>
      <c r="J49" s="63">
        <f>'2004'!G25+'2007'!G49</f>
        <v>14</v>
      </c>
      <c r="K49" s="64">
        <f t="shared" si="4"/>
        <v>1.1137629276054097</v>
      </c>
      <c r="L49" s="63"/>
    </row>
    <row r="50" spans="1:12" ht="12.75">
      <c r="A50" s="63" t="s">
        <v>457</v>
      </c>
      <c r="B50" s="63" t="s">
        <v>458</v>
      </c>
      <c r="C50" s="63"/>
      <c r="D50" s="63"/>
      <c r="E50" s="63"/>
      <c r="F50" s="63"/>
      <c r="G50" s="63">
        <f t="shared" si="3"/>
        <v>0</v>
      </c>
      <c r="H50" s="64">
        <f t="shared" si="1"/>
        <v>0</v>
      </c>
      <c r="I50" s="63">
        <f>'2004'!C26+'2007'!C50</f>
        <v>1</v>
      </c>
      <c r="J50" s="63">
        <f>'2004'!G26+'2007'!G50</f>
        <v>9</v>
      </c>
      <c r="K50" s="64">
        <f t="shared" si="4"/>
        <v>0.7159904534606205</v>
      </c>
      <c r="L50" s="63"/>
    </row>
    <row r="51" spans="1:12" ht="12.75">
      <c r="A51" s="63" t="s">
        <v>502</v>
      </c>
      <c r="B51" s="63"/>
      <c r="C51" s="63"/>
      <c r="D51" s="63"/>
      <c r="E51" s="63">
        <f>SUM(E3:E50)</f>
        <v>91</v>
      </c>
      <c r="F51" s="63">
        <f>SUM(F3:F50)</f>
        <v>86</v>
      </c>
      <c r="G51" s="63">
        <f>SUM(G3:G50)</f>
        <v>177</v>
      </c>
      <c r="H51" s="64">
        <f>SUM(H3:H50)</f>
        <v>87.62376237623764</v>
      </c>
      <c r="I51" s="63"/>
      <c r="J51" s="63">
        <f>SUM(J3:J50)</f>
        <v>1038</v>
      </c>
      <c r="K51" s="64">
        <f t="shared" si="4"/>
        <v>82.57756563245823</v>
      </c>
      <c r="L51" s="63">
        <f>'2003'!G30-44+'2004'!G27+'2005'!G33+'2006'!G58+'2007'!G51</f>
        <v>1044</v>
      </c>
    </row>
    <row r="52" spans="1:12" ht="12.75">
      <c r="A52" s="63"/>
      <c r="B52" s="63"/>
      <c r="C52" s="63"/>
      <c r="D52" s="63"/>
      <c r="E52" s="63"/>
      <c r="F52" s="63"/>
      <c r="G52" s="63"/>
      <c r="H52" s="64"/>
      <c r="I52" s="63"/>
      <c r="J52" s="63"/>
      <c r="K52" s="64"/>
      <c r="L52" s="63"/>
    </row>
    <row r="53" spans="1:12" ht="12.75">
      <c r="A53" s="63"/>
      <c r="B53" s="63"/>
      <c r="C53" s="63"/>
      <c r="D53" s="63"/>
      <c r="E53" s="63"/>
      <c r="F53" s="63"/>
      <c r="G53" s="63"/>
      <c r="H53" s="64"/>
      <c r="I53" s="63"/>
      <c r="J53" s="63"/>
      <c r="K53" s="64"/>
      <c r="L53" s="63"/>
    </row>
    <row r="54" spans="1:12" ht="12.75">
      <c r="A54" s="63" t="s">
        <v>526</v>
      </c>
      <c r="B54" s="63" t="s">
        <v>527</v>
      </c>
      <c r="C54" s="63">
        <v>1</v>
      </c>
      <c r="D54" s="63"/>
      <c r="E54" s="63">
        <v>2</v>
      </c>
      <c r="F54" s="63">
        <v>0</v>
      </c>
      <c r="G54" s="63">
        <f aca="true" t="shared" si="5" ref="G54:G68">E54+F54</f>
        <v>2</v>
      </c>
      <c r="H54" s="64">
        <f aca="true" t="shared" si="6" ref="H54:H69">G54/$G$74*100</f>
        <v>0.9900990099009901</v>
      </c>
      <c r="I54" s="63">
        <f>C54</f>
        <v>1</v>
      </c>
      <c r="J54" s="63">
        <f>G54</f>
        <v>2</v>
      </c>
      <c r="K54" s="64">
        <f aca="true" t="shared" si="7" ref="K54:K71">J54/$J$76*100</f>
        <v>0.15910898965791567</v>
      </c>
      <c r="L54" s="63"/>
    </row>
    <row r="55" spans="1:12" ht="12.75">
      <c r="A55" s="63" t="s">
        <v>475</v>
      </c>
      <c r="B55" s="63" t="s">
        <v>476</v>
      </c>
      <c r="C55" s="63"/>
      <c r="D55" s="63"/>
      <c r="E55" s="63"/>
      <c r="F55" s="63"/>
      <c r="G55" s="63">
        <f t="shared" si="5"/>
        <v>0</v>
      </c>
      <c r="H55" s="64">
        <f t="shared" si="6"/>
        <v>0</v>
      </c>
      <c r="I55" s="63">
        <f>'2005'!C36+'2007'!C55</f>
        <v>1</v>
      </c>
      <c r="J55" s="63">
        <f>'2005'!G36+'2007'!G55</f>
        <v>8</v>
      </c>
      <c r="K55" s="64">
        <f t="shared" si="7"/>
        <v>0.6364359586316627</v>
      </c>
      <c r="L55" s="63"/>
    </row>
    <row r="56" spans="1:12" ht="12.75">
      <c r="A56" s="63" t="s">
        <v>403</v>
      </c>
      <c r="B56" s="63" t="s">
        <v>404</v>
      </c>
      <c r="C56" s="63"/>
      <c r="D56" s="63"/>
      <c r="E56" s="63"/>
      <c r="F56" s="63"/>
      <c r="G56" s="63">
        <f t="shared" si="5"/>
        <v>0</v>
      </c>
      <c r="H56" s="64">
        <f t="shared" si="6"/>
        <v>0</v>
      </c>
      <c r="I56" s="63">
        <f>'2003'!C6+'2005'!C37+'2007'!C56</f>
        <v>2</v>
      </c>
      <c r="J56" s="63">
        <f>'2003'!G6+'2005'!G37+'2007'!G56</f>
        <v>14</v>
      </c>
      <c r="K56" s="64">
        <f t="shared" si="7"/>
        <v>1.1137629276054097</v>
      </c>
      <c r="L56" s="63"/>
    </row>
    <row r="57" spans="1:12" ht="12.75">
      <c r="A57" s="63" t="s">
        <v>57</v>
      </c>
      <c r="B57" s="63" t="s">
        <v>231</v>
      </c>
      <c r="C57" s="63"/>
      <c r="D57" s="63"/>
      <c r="E57" s="63"/>
      <c r="F57" s="63"/>
      <c r="G57" s="63">
        <f t="shared" si="5"/>
        <v>0</v>
      </c>
      <c r="H57" s="64">
        <f t="shared" si="6"/>
        <v>0</v>
      </c>
      <c r="I57" s="63">
        <f>'2003'!C7+'2007'!C57</f>
        <v>1</v>
      </c>
      <c r="J57" s="63">
        <f>'2003'!G7+'2007'!G57</f>
        <v>2</v>
      </c>
      <c r="K57" s="64">
        <f t="shared" si="7"/>
        <v>0.15910898965791567</v>
      </c>
      <c r="L57" s="63"/>
    </row>
    <row r="58" spans="1:12" ht="12.75">
      <c r="A58" s="63" t="s">
        <v>528</v>
      </c>
      <c r="B58" s="63" t="s">
        <v>529</v>
      </c>
      <c r="C58" s="63">
        <v>1</v>
      </c>
      <c r="D58" s="63"/>
      <c r="E58" s="63">
        <v>0</v>
      </c>
      <c r="F58" s="63">
        <v>1</v>
      </c>
      <c r="G58" s="63">
        <f t="shared" si="5"/>
        <v>1</v>
      </c>
      <c r="H58" s="64">
        <f t="shared" si="6"/>
        <v>0.49504950495049505</v>
      </c>
      <c r="I58" s="63">
        <f>C58</f>
        <v>1</v>
      </c>
      <c r="J58" s="63">
        <f>G58</f>
        <v>1</v>
      </c>
      <c r="K58" s="64">
        <f t="shared" si="7"/>
        <v>0.07955449482895784</v>
      </c>
      <c r="L58" s="63"/>
    </row>
    <row r="59" spans="1:12" ht="12.75">
      <c r="A59" s="63" t="s">
        <v>503</v>
      </c>
      <c r="B59" s="63" t="s">
        <v>504</v>
      </c>
      <c r="C59" s="63">
        <v>1</v>
      </c>
      <c r="D59" s="63"/>
      <c r="E59" s="63">
        <v>2</v>
      </c>
      <c r="F59" s="63">
        <v>4</v>
      </c>
      <c r="G59" s="63">
        <f t="shared" si="5"/>
        <v>6</v>
      </c>
      <c r="H59" s="64">
        <f t="shared" si="6"/>
        <v>2.9702970297029703</v>
      </c>
      <c r="I59" s="63">
        <f>'2006'!C66+'2007'!C59</f>
        <v>2</v>
      </c>
      <c r="J59" s="63">
        <f>'2006'!G66+'2007'!G59</f>
        <v>14</v>
      </c>
      <c r="K59" s="64">
        <f t="shared" si="7"/>
        <v>1.1137629276054097</v>
      </c>
      <c r="L59" s="63"/>
    </row>
    <row r="60" spans="1:12" ht="12.75">
      <c r="A60" s="63" t="s">
        <v>406</v>
      </c>
      <c r="B60" s="63" t="s">
        <v>407</v>
      </c>
      <c r="C60" s="63"/>
      <c r="D60" s="63"/>
      <c r="E60" s="63"/>
      <c r="F60" s="63"/>
      <c r="G60" s="63">
        <f t="shared" si="5"/>
        <v>0</v>
      </c>
      <c r="H60" s="64">
        <f t="shared" si="6"/>
        <v>0</v>
      </c>
      <c r="I60" s="63">
        <f>'2003'!C9+'2007'!C60</f>
        <v>1</v>
      </c>
      <c r="J60" s="63">
        <f>'2003'!G9+'2007'!G60</f>
        <v>5</v>
      </c>
      <c r="K60" s="64">
        <f t="shared" si="7"/>
        <v>0.3977724741447892</v>
      </c>
      <c r="L60" s="63"/>
    </row>
    <row r="61" spans="1:12" ht="12.75">
      <c r="A61" s="63" t="s">
        <v>505</v>
      </c>
      <c r="B61" s="63" t="s">
        <v>506</v>
      </c>
      <c r="C61" s="63">
        <v>1</v>
      </c>
      <c r="D61" s="63"/>
      <c r="E61" s="63">
        <v>2</v>
      </c>
      <c r="F61" s="63">
        <v>2</v>
      </c>
      <c r="G61" s="63">
        <f t="shared" si="5"/>
        <v>4</v>
      </c>
      <c r="H61" s="64">
        <f t="shared" si="6"/>
        <v>1.9801980198019802</v>
      </c>
      <c r="I61" s="63">
        <f>'2006'!C70+'2007'!C61</f>
        <v>2</v>
      </c>
      <c r="J61" s="63">
        <f>'2006'!G70+'2007'!G61</f>
        <v>13</v>
      </c>
      <c r="K61" s="64">
        <f t="shared" si="7"/>
        <v>1.0342084327764518</v>
      </c>
      <c r="L61" s="63"/>
    </row>
    <row r="62" spans="1:12" ht="12.75">
      <c r="A62" s="63" t="s">
        <v>478</v>
      </c>
      <c r="B62" s="68" t="s">
        <v>479</v>
      </c>
      <c r="C62" s="63"/>
      <c r="D62" s="63"/>
      <c r="E62" s="63"/>
      <c r="F62" s="63"/>
      <c r="G62" s="63">
        <f t="shared" si="5"/>
        <v>0</v>
      </c>
      <c r="H62" s="64">
        <f t="shared" si="6"/>
        <v>0</v>
      </c>
      <c r="I62" s="63">
        <f>'2005'!C38+'2007'!C62</f>
        <v>1</v>
      </c>
      <c r="J62" s="63">
        <f>'2005'!G38+'2007'!G62</f>
        <v>7</v>
      </c>
      <c r="K62" s="64">
        <f t="shared" si="7"/>
        <v>0.5568814638027049</v>
      </c>
      <c r="L62" s="63"/>
    </row>
    <row r="63" spans="1:12" ht="12.75">
      <c r="A63" s="63" t="s">
        <v>530</v>
      </c>
      <c r="B63" s="68" t="s">
        <v>508</v>
      </c>
      <c r="C63" s="63"/>
      <c r="D63" s="63"/>
      <c r="E63" s="63"/>
      <c r="F63" s="63"/>
      <c r="G63" s="63">
        <f t="shared" si="5"/>
        <v>0</v>
      </c>
      <c r="H63" s="64">
        <f t="shared" si="6"/>
        <v>0</v>
      </c>
      <c r="I63" s="63">
        <f>'2006'!C72+'2007'!C63</f>
        <v>1</v>
      </c>
      <c r="J63" s="63">
        <f>'2006'!G72+'2007'!G63</f>
        <v>1</v>
      </c>
      <c r="K63" s="64">
        <f t="shared" si="7"/>
        <v>0.07955449482895784</v>
      </c>
      <c r="L63" s="63"/>
    </row>
    <row r="64" spans="1:12" ht="12.75">
      <c r="A64" s="63" t="s">
        <v>413</v>
      </c>
      <c r="B64" s="63" t="s">
        <v>414</v>
      </c>
      <c r="C64" s="63"/>
      <c r="D64" s="63"/>
      <c r="E64" s="63"/>
      <c r="F64" s="63"/>
      <c r="G64" s="63">
        <f t="shared" si="5"/>
        <v>0</v>
      </c>
      <c r="H64" s="64">
        <f t="shared" si="6"/>
        <v>0</v>
      </c>
      <c r="I64" s="63">
        <f>'2003'!C15+'2005'!C39+'2007'!C64</f>
        <v>2</v>
      </c>
      <c r="J64" s="63">
        <f>'2003'!G15+'2005'!G39+'2007'!G64</f>
        <v>13</v>
      </c>
      <c r="K64" s="64">
        <f t="shared" si="7"/>
        <v>1.0342084327764518</v>
      </c>
      <c r="L64" s="63"/>
    </row>
    <row r="65" spans="1:12" ht="12.75">
      <c r="A65" s="63" t="s">
        <v>417</v>
      </c>
      <c r="B65" s="63" t="s">
        <v>418</v>
      </c>
      <c r="C65" s="63"/>
      <c r="D65" s="63"/>
      <c r="E65" s="63"/>
      <c r="F65" s="63"/>
      <c r="G65" s="63">
        <f t="shared" si="5"/>
        <v>0</v>
      </c>
      <c r="H65" s="64">
        <f t="shared" si="6"/>
        <v>0</v>
      </c>
      <c r="I65" s="63">
        <f>'2003'!C18+'2007'!C65</f>
        <v>1</v>
      </c>
      <c r="J65" s="63">
        <f>'2003'!G18+'2007'!G65</f>
        <v>6</v>
      </c>
      <c r="K65" s="64">
        <f t="shared" si="7"/>
        <v>0.47732696897374705</v>
      </c>
      <c r="L65" s="63"/>
    </row>
    <row r="66" spans="1:12" ht="12.75">
      <c r="A66" s="63" t="s">
        <v>419</v>
      </c>
      <c r="B66" s="63" t="s">
        <v>420</v>
      </c>
      <c r="C66" s="63">
        <v>1</v>
      </c>
      <c r="D66" s="63"/>
      <c r="E66" s="63">
        <v>4</v>
      </c>
      <c r="F66" s="63">
        <v>5</v>
      </c>
      <c r="G66" s="63">
        <f t="shared" si="5"/>
        <v>9</v>
      </c>
      <c r="H66" s="64">
        <f t="shared" si="6"/>
        <v>4.455445544554455</v>
      </c>
      <c r="I66" s="63">
        <f>'2006'!C38+'2007'!C66</f>
        <v>2</v>
      </c>
      <c r="J66" s="63">
        <f>'2006'!G38+'2007'!G66</f>
        <v>15</v>
      </c>
      <c r="K66" s="64">
        <f t="shared" si="7"/>
        <v>1.1933174224343674</v>
      </c>
      <c r="L66" s="63" t="s">
        <v>470</v>
      </c>
    </row>
    <row r="67" spans="1:12" ht="12.75">
      <c r="A67" s="63" t="s">
        <v>391</v>
      </c>
      <c r="B67" s="63" t="s">
        <v>392</v>
      </c>
      <c r="C67" s="63"/>
      <c r="D67" s="63"/>
      <c r="E67" s="63"/>
      <c r="F67" s="63"/>
      <c r="G67" s="63">
        <f t="shared" si="5"/>
        <v>0</v>
      </c>
      <c r="H67" s="64">
        <f t="shared" si="6"/>
        <v>0</v>
      </c>
      <c r="I67" s="63">
        <f>'2003'!C24+'2005'!C40+'2007'!C67</f>
        <v>3</v>
      </c>
      <c r="J67" s="63">
        <f>'2003'!G24+'2005'!G40+'2007'!G67</f>
        <v>22</v>
      </c>
      <c r="K67" s="64">
        <f t="shared" si="7"/>
        <v>1.7501988862370723</v>
      </c>
      <c r="L67" s="63"/>
    </row>
    <row r="68" spans="1:12" ht="12.75">
      <c r="A68" s="63" t="s">
        <v>482</v>
      </c>
      <c r="B68" s="63" t="s">
        <v>483</v>
      </c>
      <c r="C68" s="63"/>
      <c r="D68" s="63"/>
      <c r="E68" s="63"/>
      <c r="F68" s="63"/>
      <c r="G68" s="63">
        <f t="shared" si="5"/>
        <v>0</v>
      </c>
      <c r="H68" s="64">
        <f t="shared" si="6"/>
        <v>0</v>
      </c>
      <c r="I68" s="63">
        <f>'2005'!C41+'2006'!C76+'2007'!C68</f>
        <v>2</v>
      </c>
      <c r="J68" s="63">
        <f>'2005'!G41+'2006'!G76+'2007'!G68</f>
        <v>16</v>
      </c>
      <c r="K68" s="64">
        <f t="shared" si="7"/>
        <v>1.2728719172633254</v>
      </c>
      <c r="L68" s="63"/>
    </row>
    <row r="69" spans="1:12" ht="12.75">
      <c r="A69" s="63" t="s">
        <v>510</v>
      </c>
      <c r="B69" s="63"/>
      <c r="C69" s="63"/>
      <c r="D69" s="63"/>
      <c r="E69" s="63"/>
      <c r="F69" s="63"/>
      <c r="G69" s="63"/>
      <c r="H69" s="64">
        <f t="shared" si="6"/>
        <v>0</v>
      </c>
      <c r="I69" s="63"/>
      <c r="J69" s="63">
        <v>63</v>
      </c>
      <c r="K69" s="64">
        <f t="shared" si="7"/>
        <v>5.011933174224343</v>
      </c>
      <c r="L69" s="63"/>
    </row>
    <row r="70" spans="1:12" ht="12.75">
      <c r="A70" s="63" t="s">
        <v>511</v>
      </c>
      <c r="B70" s="63"/>
      <c r="C70" s="63"/>
      <c r="D70" s="63"/>
      <c r="E70" s="63">
        <f>SUM(E54:E69)</f>
        <v>10</v>
      </c>
      <c r="F70" s="63">
        <f>SUM(F54:F69)</f>
        <v>12</v>
      </c>
      <c r="G70" s="63">
        <f>SUM(G54:G69)</f>
        <v>22</v>
      </c>
      <c r="H70" s="64">
        <f>SUM(H54:H69)</f>
        <v>10.89108910891089</v>
      </c>
      <c r="I70" s="63"/>
      <c r="J70" s="63">
        <f>SUM(J54:J69)</f>
        <v>202</v>
      </c>
      <c r="K70" s="64">
        <f t="shared" si="7"/>
        <v>16.070007955449483</v>
      </c>
      <c r="L70" s="63">
        <f>'2003'!G35+'2004'!G28+'2005'!G42+'2006'!G78+'2007'!G70</f>
        <v>196</v>
      </c>
    </row>
    <row r="71" spans="1:12" ht="12.75">
      <c r="A71" s="63" t="s">
        <v>531</v>
      </c>
      <c r="B71" s="63"/>
      <c r="C71" s="63"/>
      <c r="D71" s="63"/>
      <c r="E71" s="63"/>
      <c r="F71" s="63"/>
      <c r="G71" s="63">
        <f>G51+G70</f>
        <v>199</v>
      </c>
      <c r="H71" s="64">
        <f>H51+H70</f>
        <v>98.51485148514853</v>
      </c>
      <c r="I71" s="63"/>
      <c r="J71" s="63">
        <f>J51+J70</f>
        <v>1240</v>
      </c>
      <c r="K71" s="64">
        <f t="shared" si="7"/>
        <v>98.64757358790771</v>
      </c>
      <c r="L71" s="63">
        <f>L51+L70</f>
        <v>1240</v>
      </c>
    </row>
    <row r="72" spans="1:12" ht="12.75">
      <c r="A72" s="63" t="s">
        <v>532</v>
      </c>
      <c r="B72" s="63"/>
      <c r="C72" s="63">
        <f>SUM(C4:C71)</f>
        <v>30</v>
      </c>
      <c r="D72" s="63">
        <f>SUM(D4:D71)</f>
        <v>1</v>
      </c>
      <c r="E72" s="63"/>
      <c r="F72" s="63"/>
      <c r="G72" s="63"/>
      <c r="H72" s="64"/>
      <c r="I72" s="63"/>
      <c r="J72" s="63"/>
      <c r="K72" s="64"/>
      <c r="L72" s="63"/>
    </row>
    <row r="73" spans="1:12" ht="12.75">
      <c r="A73" s="63" t="s">
        <v>462</v>
      </c>
      <c r="B73" s="63"/>
      <c r="C73" s="63"/>
      <c r="D73" s="63"/>
      <c r="E73" s="63"/>
      <c r="F73" s="63"/>
      <c r="G73" s="63">
        <v>3</v>
      </c>
      <c r="H73" s="64">
        <f>G73/$G$74*100</f>
        <v>1.4851485148514851</v>
      </c>
      <c r="I73" s="63"/>
      <c r="J73" s="63">
        <f>'2004'!G29+'2005'!G44+'2006'!G80+'2007'!G73</f>
        <v>17</v>
      </c>
      <c r="K73" s="64">
        <f>J73/$J$76*100</f>
        <v>1.352426412092283</v>
      </c>
      <c r="L73" s="63"/>
    </row>
    <row r="74" spans="1:12" ht="12.75">
      <c r="A74" s="63" t="s">
        <v>533</v>
      </c>
      <c r="B74" s="63"/>
      <c r="C74" s="63"/>
      <c r="D74" s="63"/>
      <c r="E74" s="63"/>
      <c r="F74" s="63"/>
      <c r="G74" s="63">
        <f>G71+G73</f>
        <v>202</v>
      </c>
      <c r="H74" s="64">
        <f>H73+H70+H51</f>
        <v>100.00000000000001</v>
      </c>
      <c r="I74" s="63"/>
      <c r="J74" s="63"/>
      <c r="K74" s="64"/>
      <c r="L74" s="63"/>
    </row>
    <row r="75" spans="1:12" ht="12.75">
      <c r="A75" s="63"/>
      <c r="B75" s="63"/>
      <c r="C75" s="63"/>
      <c r="D75" s="63"/>
      <c r="E75" s="63"/>
      <c r="F75" s="63"/>
      <c r="G75" s="63"/>
      <c r="H75" s="64"/>
      <c r="I75" s="63"/>
      <c r="J75" s="63"/>
      <c r="K75" s="64"/>
      <c r="L75" s="63"/>
    </row>
    <row r="76" spans="1:12" ht="12.75">
      <c r="A76" s="63" t="s">
        <v>534</v>
      </c>
      <c r="B76" s="63"/>
      <c r="C76" s="63"/>
      <c r="D76" s="63"/>
      <c r="E76" s="63"/>
      <c r="F76" s="63"/>
      <c r="G76" s="63"/>
      <c r="H76" s="63"/>
      <c r="I76" s="63"/>
      <c r="J76" s="63">
        <f>J71+J73</f>
        <v>1257</v>
      </c>
      <c r="K76" s="64">
        <f>J76/$J$76*100</f>
        <v>100</v>
      </c>
      <c r="L76" s="63">
        <f>'2003'!G30+'2004'!G30+'2005'!G45+'2006'!G81+'2007'!G74</f>
        <v>1257</v>
      </c>
    </row>
    <row r="77" spans="1:12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3" spans="1:2" ht="12.75">
      <c r="A83" t="s">
        <v>6</v>
      </c>
      <c r="B83">
        <v>20</v>
      </c>
    </row>
    <row r="84" spans="1:2" ht="12.75">
      <c r="A84" t="s">
        <v>7</v>
      </c>
      <c r="B84">
        <v>29</v>
      </c>
    </row>
    <row r="85" spans="1:2" ht="12.75">
      <c r="A85" t="s">
        <v>51</v>
      </c>
      <c r="B85" s="9">
        <f>4*(B83*B84)/(B83+B84)</f>
        <v>47.3469387755102</v>
      </c>
    </row>
    <row r="86" ht="12.75">
      <c r="B86" s="9">
        <f>B85/B84*50</f>
        <v>81.63265306122449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" right="0" top="0.9840277777777777" bottom="0.9840277777777777" header="0.5118055555555555" footer="0.5118055555555555"/>
  <pageSetup horizontalDpi="300" verticalDpi="300" orientation="portrait" paperSize="9"/>
  <rowBreaks count="1" manualBreakCount="1">
    <brk id="5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85"/>
  <sheetViews>
    <sheetView zoomScale="90" zoomScaleNormal="90" zoomScalePageLayoutView="0" workbookViewId="0" topLeftCell="A10">
      <selection activeCell="A27" sqref="A27"/>
    </sheetView>
  </sheetViews>
  <sheetFormatPr defaultColWidth="9.140625" defaultRowHeight="12.75"/>
  <cols>
    <col min="1" max="1" width="19.140625" style="0" customWidth="1"/>
    <col min="2" max="2" width="10.57421875" style="0" customWidth="1"/>
    <col min="8" max="8" width="9.140625" style="14" customWidth="1"/>
  </cols>
  <sheetData>
    <row r="1" spans="1:12" ht="14.25" customHeight="1">
      <c r="A1" s="2" t="s">
        <v>0</v>
      </c>
      <c r="B1" s="48">
        <v>2008</v>
      </c>
      <c r="C1" s="100" t="s">
        <v>4</v>
      </c>
      <c r="D1" s="101" t="s">
        <v>368</v>
      </c>
      <c r="E1" s="100" t="s">
        <v>6</v>
      </c>
      <c r="F1" s="100" t="s">
        <v>7</v>
      </c>
      <c r="G1" s="2"/>
      <c r="H1" s="17"/>
      <c r="I1" s="100" t="s">
        <v>294</v>
      </c>
      <c r="J1" s="100" t="s">
        <v>295</v>
      </c>
      <c r="K1" s="100" t="s">
        <v>322</v>
      </c>
      <c r="L1" s="102" t="s">
        <v>13</v>
      </c>
    </row>
    <row r="2" spans="1:12" ht="16.5" customHeight="1">
      <c r="A2" s="49" t="s">
        <v>431</v>
      </c>
      <c r="B2" s="49" t="s">
        <v>3</v>
      </c>
      <c r="C2" s="100"/>
      <c r="D2" s="101"/>
      <c r="E2" s="100"/>
      <c r="F2" s="100"/>
      <c r="G2" s="2" t="s">
        <v>8</v>
      </c>
      <c r="H2" s="17" t="s">
        <v>9</v>
      </c>
      <c r="I2" s="100"/>
      <c r="J2" s="100"/>
      <c r="K2" s="100"/>
      <c r="L2" s="102"/>
    </row>
    <row r="3" spans="1:11" ht="16.5" customHeight="1">
      <c r="A3" t="s">
        <v>526</v>
      </c>
      <c r="B3" t="s">
        <v>527</v>
      </c>
      <c r="C3">
        <v>3</v>
      </c>
      <c r="D3">
        <v>0</v>
      </c>
      <c r="E3">
        <v>11</v>
      </c>
      <c r="F3">
        <v>8</v>
      </c>
      <c r="G3" s="9">
        <f>E3+F3</f>
        <v>19</v>
      </c>
      <c r="H3" s="14">
        <f>G3/$G$77*100</f>
        <v>8.296943231441048</v>
      </c>
      <c r="I3" s="9">
        <f>'2008'!C3</f>
        <v>3</v>
      </c>
      <c r="J3" s="9">
        <f>G3</f>
        <v>19</v>
      </c>
      <c r="K3" s="14">
        <f aca="true" t="shared" si="0" ref="K3:K34">J3/$J$79*100</f>
        <v>1.529790660225443</v>
      </c>
    </row>
    <row r="4" spans="1:11" ht="12.75">
      <c r="A4" t="s">
        <v>433</v>
      </c>
      <c r="B4" t="s">
        <v>434</v>
      </c>
      <c r="I4" s="9">
        <f>'2004'!C4</f>
        <v>1</v>
      </c>
      <c r="J4" s="9">
        <f>'2004'!G4</f>
        <v>9</v>
      </c>
      <c r="K4" s="14">
        <f t="shared" si="0"/>
        <v>0.7246376811594203</v>
      </c>
    </row>
    <row r="5" spans="1:11" ht="12.75">
      <c r="A5" t="s">
        <v>516</v>
      </c>
      <c r="B5" t="s">
        <v>517</v>
      </c>
      <c r="C5">
        <v>2</v>
      </c>
      <c r="D5">
        <v>1</v>
      </c>
      <c r="E5">
        <v>3</v>
      </c>
      <c r="F5">
        <v>6</v>
      </c>
      <c r="G5" s="9">
        <f>E5+F5</f>
        <v>9</v>
      </c>
      <c r="H5" s="14">
        <f>G5/$G$77*100</f>
        <v>3.9301310043668125</v>
      </c>
      <c r="I5" s="9">
        <f>'2007'!C4+'2008'!C5</f>
        <v>3</v>
      </c>
      <c r="J5" s="9">
        <f>'2007'!G4+'2008'!G5</f>
        <v>14</v>
      </c>
      <c r="K5" s="14">
        <f t="shared" si="0"/>
        <v>1.1272141706924315</v>
      </c>
    </row>
    <row r="6" spans="1:11" ht="12.75">
      <c r="A6" t="s">
        <v>435</v>
      </c>
      <c r="B6" t="s">
        <v>436</v>
      </c>
      <c r="I6" s="9">
        <f>'2004'!C6+'2006'!C6</f>
        <v>2</v>
      </c>
      <c r="J6" s="9">
        <f>'2004'!G6+'2006'!G6</f>
        <v>12</v>
      </c>
      <c r="K6" s="14">
        <f t="shared" si="0"/>
        <v>0.966183574879227</v>
      </c>
    </row>
    <row r="7" spans="1:11" ht="12.75">
      <c r="A7" t="s">
        <v>518</v>
      </c>
      <c r="B7" t="s">
        <v>519</v>
      </c>
      <c r="I7" s="9">
        <f>'2007'!C7+'2008'!C7</f>
        <v>1</v>
      </c>
      <c r="J7" s="9">
        <f>'2007'!G7+'2008'!G7</f>
        <v>9</v>
      </c>
      <c r="K7" s="14">
        <f t="shared" si="0"/>
        <v>0.7246376811594203</v>
      </c>
    </row>
    <row r="8" spans="1:11" ht="12.75">
      <c r="A8" t="s">
        <v>466</v>
      </c>
      <c r="B8" t="s">
        <v>467</v>
      </c>
      <c r="I8" s="9">
        <f>'2005'!C7+'2007'!C8+'2008'!C8</f>
        <v>4</v>
      </c>
      <c r="J8" s="9">
        <f>'2005'!G7+'2007'!G8+'2008'!G8</f>
        <v>27</v>
      </c>
      <c r="K8" s="14">
        <f t="shared" si="0"/>
        <v>2.1739130434782608</v>
      </c>
    </row>
    <row r="9" spans="1:11" ht="12.75">
      <c r="A9" t="s">
        <v>520</v>
      </c>
      <c r="B9" t="s">
        <v>521</v>
      </c>
      <c r="C9">
        <v>2</v>
      </c>
      <c r="D9">
        <v>2</v>
      </c>
      <c r="I9" s="9">
        <f>'2007'!C10+'2008'!C9</f>
        <v>3</v>
      </c>
      <c r="J9" s="9">
        <f>'2007'!G10+'2008'!G9</f>
        <v>5</v>
      </c>
      <c r="K9" s="14">
        <f t="shared" si="0"/>
        <v>0.40257648953301123</v>
      </c>
    </row>
    <row r="10" spans="1:11" ht="12.75">
      <c r="A10" t="s">
        <v>432</v>
      </c>
      <c r="B10" t="s">
        <v>402</v>
      </c>
      <c r="I10" s="9">
        <f>'2004'!C3+'2005'!C8+'2006'!C10+'2007'!C11+'2008'!C10</f>
        <v>7</v>
      </c>
      <c r="J10" s="9">
        <f>'2004'!G3+'2005'!G8+'2006'!G10+'2007'!G11+'2008'!G10</f>
        <v>55</v>
      </c>
      <c r="K10" s="69">
        <f t="shared" si="0"/>
        <v>4.428341384863124</v>
      </c>
    </row>
    <row r="11" spans="1:11" ht="12.75">
      <c r="A11" t="s">
        <v>522</v>
      </c>
      <c r="B11" t="s">
        <v>523</v>
      </c>
      <c r="I11" s="9">
        <f>'2007'!C12</f>
        <v>1</v>
      </c>
      <c r="J11" s="9">
        <f>'2007'!G12</f>
        <v>0</v>
      </c>
      <c r="K11" s="14">
        <f t="shared" si="0"/>
        <v>0</v>
      </c>
    </row>
    <row r="12" spans="1:11" ht="12.75">
      <c r="A12" t="s">
        <v>535</v>
      </c>
      <c r="B12" t="s">
        <v>536</v>
      </c>
      <c r="C12">
        <v>2</v>
      </c>
      <c r="D12">
        <v>0</v>
      </c>
      <c r="E12">
        <v>6</v>
      </c>
      <c r="F12">
        <v>1</v>
      </c>
      <c r="G12" s="9">
        <f>E12+F12</f>
        <v>7</v>
      </c>
      <c r="H12" s="14">
        <f>G12/$G$77*100</f>
        <v>3.056768558951965</v>
      </c>
      <c r="I12" s="9">
        <f>C12</f>
        <v>2</v>
      </c>
      <c r="J12" s="9">
        <f>G12</f>
        <v>7</v>
      </c>
      <c r="K12" s="14">
        <f t="shared" si="0"/>
        <v>0.5636070853462157</v>
      </c>
    </row>
    <row r="13" spans="1:11" ht="12.75">
      <c r="A13" t="s">
        <v>537</v>
      </c>
      <c r="B13" t="s">
        <v>538</v>
      </c>
      <c r="C13">
        <v>1</v>
      </c>
      <c r="D13">
        <v>1</v>
      </c>
      <c r="I13" s="9">
        <f>C13</f>
        <v>1</v>
      </c>
      <c r="J13" s="9">
        <f>G13</f>
        <v>0</v>
      </c>
      <c r="K13" s="14">
        <f t="shared" si="0"/>
        <v>0</v>
      </c>
    </row>
    <row r="14" spans="1:11" ht="12.75">
      <c r="A14" t="s">
        <v>468</v>
      </c>
      <c r="B14" t="s">
        <v>469</v>
      </c>
      <c r="C14">
        <v>1</v>
      </c>
      <c r="E14">
        <v>3</v>
      </c>
      <c r="F14">
        <v>7</v>
      </c>
      <c r="G14" s="9">
        <f>E14+F14</f>
        <v>10</v>
      </c>
      <c r="H14" s="14">
        <f>G14/$G$77*100</f>
        <v>4.366812227074235</v>
      </c>
      <c r="I14" s="9">
        <f>'2005'!C9+'2006'!C13+'2008'!C14</f>
        <v>4</v>
      </c>
      <c r="J14" s="9">
        <f>'2005'!G9+'2006'!G13+'2008'!G14</f>
        <v>41</v>
      </c>
      <c r="K14" s="14">
        <f t="shared" si="0"/>
        <v>3.3011272141706924</v>
      </c>
    </row>
    <row r="15" spans="1:11" ht="12.75">
      <c r="A15" t="s">
        <v>539</v>
      </c>
      <c r="B15" t="s">
        <v>540</v>
      </c>
      <c r="C15">
        <v>3</v>
      </c>
      <c r="D15">
        <v>1</v>
      </c>
      <c r="E15">
        <v>6</v>
      </c>
      <c r="F15">
        <v>8</v>
      </c>
      <c r="G15" s="9">
        <f>E15+F15</f>
        <v>14</v>
      </c>
      <c r="H15" s="14">
        <f>G15/$G$77*100</f>
        <v>6.11353711790393</v>
      </c>
      <c r="I15" s="9">
        <f>C15</f>
        <v>3</v>
      </c>
      <c r="J15" s="9">
        <f>G15</f>
        <v>14</v>
      </c>
      <c r="K15" s="14">
        <f t="shared" si="0"/>
        <v>1.1272141706924315</v>
      </c>
    </row>
    <row r="16" spans="1:11" ht="12.75">
      <c r="A16" t="s">
        <v>541</v>
      </c>
      <c r="B16" t="s">
        <v>542</v>
      </c>
      <c r="C16">
        <v>1</v>
      </c>
      <c r="D16">
        <v>1</v>
      </c>
      <c r="I16" s="9">
        <f>C16</f>
        <v>1</v>
      </c>
      <c r="J16" s="9">
        <f>G16</f>
        <v>0</v>
      </c>
      <c r="K16" s="14">
        <f t="shared" si="0"/>
        <v>0</v>
      </c>
    </row>
    <row r="17" spans="1:11" ht="12.75">
      <c r="A17" t="s">
        <v>487</v>
      </c>
      <c r="B17" t="s">
        <v>438</v>
      </c>
      <c r="I17" s="9">
        <f>'2004'!C7+'2005'!C10+'2006'!C16+'2007'!C16+'2008'!C17</f>
        <v>10</v>
      </c>
      <c r="J17" s="9">
        <f>'2004'!G7+'2005'!G10+'2006'!G16+'2007'!G16+'2008'!G17</f>
        <v>60</v>
      </c>
      <c r="K17" s="69">
        <f t="shared" si="0"/>
        <v>4.830917874396135</v>
      </c>
    </row>
    <row r="18" spans="1:11" ht="12.75">
      <c r="A18" t="s">
        <v>488</v>
      </c>
      <c r="B18" t="s">
        <v>489</v>
      </c>
      <c r="I18" s="9">
        <f>'2006'!C17+'2007'!C17+'2008'!C18</f>
        <v>6</v>
      </c>
      <c r="J18" s="9">
        <f>'2006'!G17+'2007'!G17+'2008'!G18</f>
        <v>46</v>
      </c>
      <c r="K18" s="14">
        <f t="shared" si="0"/>
        <v>3.7037037037037033</v>
      </c>
    </row>
    <row r="19" spans="1:11" ht="12.75">
      <c r="A19" t="s">
        <v>490</v>
      </c>
      <c r="B19" t="s">
        <v>491</v>
      </c>
      <c r="I19" s="9">
        <f>'2006'!C18+'2007'!C18+'2008'!C19</f>
        <v>2</v>
      </c>
      <c r="J19" s="9">
        <f>'2006'!G18+'2007'!F18+'2008'!G19</f>
        <v>16</v>
      </c>
      <c r="K19" s="14">
        <f t="shared" si="0"/>
        <v>1.288244766505636</v>
      </c>
    </row>
    <row r="20" spans="1:11" ht="12.75">
      <c r="A20" t="s">
        <v>543</v>
      </c>
      <c r="B20" t="s">
        <v>544</v>
      </c>
      <c r="C20">
        <v>1</v>
      </c>
      <c r="D20">
        <v>0</v>
      </c>
      <c r="E20">
        <v>0</v>
      </c>
      <c r="F20">
        <v>6</v>
      </c>
      <c r="G20" s="9">
        <f>E20+F20</f>
        <v>6</v>
      </c>
      <c r="H20" s="14">
        <f>G20/$G$77*100</f>
        <v>2.6200873362445414</v>
      </c>
      <c r="I20" s="9">
        <f>C20</f>
        <v>1</v>
      </c>
      <c r="J20" s="9">
        <f>G20</f>
        <v>6</v>
      </c>
      <c r="K20" s="14">
        <f t="shared" si="0"/>
        <v>0.4830917874396135</v>
      </c>
    </row>
    <row r="21" spans="1:11" ht="12.75">
      <c r="A21" t="s">
        <v>545</v>
      </c>
      <c r="B21" t="s">
        <v>546</v>
      </c>
      <c r="C21">
        <v>2</v>
      </c>
      <c r="D21">
        <v>0</v>
      </c>
      <c r="E21">
        <v>9</v>
      </c>
      <c r="F21">
        <v>9</v>
      </c>
      <c r="G21" s="9">
        <f>E21+F21</f>
        <v>18</v>
      </c>
      <c r="H21" s="14">
        <f>G21/$G$77*100</f>
        <v>7.860262008733625</v>
      </c>
      <c r="I21" s="9">
        <f>'2008'!C21</f>
        <v>2</v>
      </c>
      <c r="J21" s="9">
        <f>G21</f>
        <v>18</v>
      </c>
      <c r="K21" s="14">
        <f t="shared" si="0"/>
        <v>1.4492753623188406</v>
      </c>
    </row>
    <row r="22" spans="1:11" ht="12.75">
      <c r="A22" t="s">
        <v>408</v>
      </c>
      <c r="B22" t="s">
        <v>377</v>
      </c>
      <c r="C22">
        <v>1</v>
      </c>
      <c r="D22">
        <v>0</v>
      </c>
      <c r="E22">
        <v>4</v>
      </c>
      <c r="F22">
        <v>4</v>
      </c>
      <c r="G22" s="9">
        <f>E22+F22</f>
        <v>8</v>
      </c>
      <c r="H22" s="14">
        <f>G22/$G$77*100</f>
        <v>3.4934497816593884</v>
      </c>
      <c r="I22" s="9">
        <f>'2004'!C8+'2005'!C11+'2006'!C19+'2007'!C19+'2008'!C22</f>
        <v>6</v>
      </c>
      <c r="J22" s="9">
        <f>'2004'!G8+'2005'!G11+'2006'!C19+'2007'!F19+'2008'!G22</f>
        <v>44</v>
      </c>
      <c r="K22" s="14">
        <f t="shared" si="0"/>
        <v>3.542673107890499</v>
      </c>
    </row>
    <row r="23" spans="1:11" ht="12.75">
      <c r="A23" t="s">
        <v>492</v>
      </c>
      <c r="B23" t="s">
        <v>493</v>
      </c>
      <c r="I23" s="9">
        <f>'2006'!C20+'2007'!C20+'2008'!C23</f>
        <v>6</v>
      </c>
      <c r="J23" s="9">
        <f>'2006'!G20+'2007'!G20+'2008'!G23</f>
        <v>39</v>
      </c>
      <c r="K23" s="14">
        <f t="shared" si="0"/>
        <v>3.140096618357488</v>
      </c>
    </row>
    <row r="24" spans="1:11" ht="12.75">
      <c r="A24" t="s">
        <v>439</v>
      </c>
      <c r="B24" t="s">
        <v>440</v>
      </c>
      <c r="I24" s="9">
        <f>'2004'!C9+'2005'!C12+'2006'!C21+'2007'!C21+'2008'!C24</f>
        <v>11</v>
      </c>
      <c r="J24" s="9">
        <f>'2004'!G9+'2005'!G12+'2006'!G21+'2007'!G21+'2008'!G24</f>
        <v>66</v>
      </c>
      <c r="K24" s="69">
        <f t="shared" si="0"/>
        <v>5.314009661835748</v>
      </c>
    </row>
    <row r="25" spans="1:11" ht="12.75">
      <c r="A25" t="s">
        <v>494</v>
      </c>
      <c r="B25" t="s">
        <v>495</v>
      </c>
      <c r="I25" s="9">
        <f>'2006'!C22+'2007'!C22+'2008'!C25</f>
        <v>1</v>
      </c>
      <c r="J25" s="9">
        <f>'2006'!G22+'2007'!G22+'2008'!G25</f>
        <v>2</v>
      </c>
      <c r="K25" s="14">
        <f t="shared" si="0"/>
        <v>0.1610305958132045</v>
      </c>
    </row>
    <row r="26" spans="1:11" ht="12.75">
      <c r="A26" t="s">
        <v>496</v>
      </c>
      <c r="B26" t="s">
        <v>497</v>
      </c>
      <c r="C26">
        <v>1</v>
      </c>
      <c r="D26">
        <v>1</v>
      </c>
      <c r="I26" s="9">
        <f>'2006'!C23+'2007'!C23+'2008'!C26</f>
        <v>2</v>
      </c>
      <c r="J26" s="9">
        <f>'2006'!G23+'2007'!G23+'2008'!G26</f>
        <v>7</v>
      </c>
      <c r="K26" s="14">
        <f t="shared" si="0"/>
        <v>0.5636070853462157</v>
      </c>
    </row>
    <row r="27" spans="1:11" ht="12.75">
      <c r="A27" t="s">
        <v>498</v>
      </c>
      <c r="B27" t="s">
        <v>499</v>
      </c>
      <c r="C27">
        <v>2</v>
      </c>
      <c r="D27">
        <v>0</v>
      </c>
      <c r="E27">
        <v>5</v>
      </c>
      <c r="F27">
        <v>5</v>
      </c>
      <c r="G27" s="9">
        <f>E27+F27</f>
        <v>10</v>
      </c>
      <c r="H27" s="14">
        <f>G27/$G$77*100</f>
        <v>4.366812227074235</v>
      </c>
      <c r="I27" s="9">
        <f>'2006'!C24+'2007'!C24+'2008'!C27</f>
        <v>5</v>
      </c>
      <c r="J27" s="9">
        <f>'2006'!G24+'2007'!G24+'2008'!G27</f>
        <v>31</v>
      </c>
      <c r="K27" s="14">
        <f t="shared" si="0"/>
        <v>2.49597423510467</v>
      </c>
    </row>
    <row r="28" spans="1:11" ht="12.75">
      <c r="A28" t="s">
        <v>441</v>
      </c>
      <c r="B28" t="s">
        <v>442</v>
      </c>
      <c r="I28" s="9">
        <f>'2004'!C10+'2005'!C13+'2006'!C25+'2007'!C25+'2008'!C28</f>
        <v>3</v>
      </c>
      <c r="J28" s="9">
        <f>'2004'!G10+'2005'!G13+'2006'!G25+'2007'!G25+'2008'!G28</f>
        <v>6</v>
      </c>
      <c r="K28" s="14">
        <f t="shared" si="0"/>
        <v>0.4830917874396135</v>
      </c>
    </row>
    <row r="29" spans="1:11" ht="12.75">
      <c r="A29" t="s">
        <v>443</v>
      </c>
      <c r="B29" t="s">
        <v>303</v>
      </c>
      <c r="I29" s="9">
        <f>'2004'!C11+'2005'!C14+'2006'!C26+'2007'!C26+'2008'!C29</f>
        <v>3</v>
      </c>
      <c r="J29" s="9">
        <f>'2004'!G11+'2005'!G14+'2008'!G29</f>
        <v>14</v>
      </c>
      <c r="K29" s="14">
        <f t="shared" si="0"/>
        <v>1.1272141706924315</v>
      </c>
    </row>
    <row r="30" spans="1:11" ht="12.75">
      <c r="A30" t="s">
        <v>411</v>
      </c>
      <c r="B30" t="s">
        <v>348</v>
      </c>
      <c r="I30" s="9">
        <f>'2004'!C12+'2005'!C15+'2006'!C28+'2007'!C28+'2008'!C30</f>
        <v>2</v>
      </c>
      <c r="J30" s="9">
        <f>'2004'!G12+'2005'!G15+'2006'!G28+'2007'!G28+'2008'!G30</f>
        <v>14</v>
      </c>
      <c r="K30" s="14">
        <f t="shared" si="0"/>
        <v>1.1272141706924315</v>
      </c>
    </row>
    <row r="31" spans="1:11" ht="12.75">
      <c r="A31" t="s">
        <v>471</v>
      </c>
      <c r="B31" t="s">
        <v>472</v>
      </c>
      <c r="I31" s="9">
        <f>'2005'!C16</f>
        <v>1</v>
      </c>
      <c r="J31" s="9">
        <f>'2005'!G16</f>
        <v>8</v>
      </c>
      <c r="K31" s="14">
        <f t="shared" si="0"/>
        <v>0.644122383252818</v>
      </c>
    </row>
    <row r="32" spans="1:11" ht="12.75">
      <c r="A32" t="s">
        <v>524</v>
      </c>
      <c r="B32" t="s">
        <v>525</v>
      </c>
      <c r="I32" s="9">
        <f>'2007'!C31+'2008'!C32</f>
        <v>1</v>
      </c>
      <c r="J32" s="9">
        <f>'2007'!G31+'2008'!G32</f>
        <v>6</v>
      </c>
      <c r="K32" s="14">
        <f t="shared" si="0"/>
        <v>0.4830917874396135</v>
      </c>
    </row>
    <row r="33" spans="1:11" ht="12.75">
      <c r="A33" t="s">
        <v>444</v>
      </c>
      <c r="B33" t="s">
        <v>351</v>
      </c>
      <c r="I33" s="9">
        <f>'2004'!C13+'2005'!C17+'2008'!C33</f>
        <v>3</v>
      </c>
      <c r="J33" s="9">
        <f>'2004'!G13+'2005'!G17+'2008'!G33</f>
        <v>24</v>
      </c>
      <c r="K33" s="14">
        <f t="shared" si="0"/>
        <v>1.932367149758454</v>
      </c>
    </row>
    <row r="34" spans="1:11" ht="12.75">
      <c r="A34" t="s">
        <v>547</v>
      </c>
      <c r="B34" t="s">
        <v>548</v>
      </c>
      <c r="C34">
        <v>1</v>
      </c>
      <c r="D34">
        <v>0</v>
      </c>
      <c r="E34">
        <v>0</v>
      </c>
      <c r="F34">
        <v>7</v>
      </c>
      <c r="G34" s="9">
        <f>E34+F34</f>
        <v>7</v>
      </c>
      <c r="H34" s="14">
        <f>G34/$G$77*100</f>
        <v>3.056768558951965</v>
      </c>
      <c r="I34" s="9">
        <f>C34</f>
        <v>1</v>
      </c>
      <c r="J34" s="9">
        <f>G34</f>
        <v>7</v>
      </c>
      <c r="K34" s="14">
        <f t="shared" si="0"/>
        <v>0.5636070853462157</v>
      </c>
    </row>
    <row r="35" spans="1:11" ht="12.75">
      <c r="A35" t="s">
        <v>549</v>
      </c>
      <c r="B35" t="s">
        <v>550</v>
      </c>
      <c r="C35">
        <v>1</v>
      </c>
      <c r="D35">
        <v>0</v>
      </c>
      <c r="E35">
        <v>2</v>
      </c>
      <c r="F35">
        <v>3</v>
      </c>
      <c r="G35" s="9">
        <f>E35+F35</f>
        <v>5</v>
      </c>
      <c r="H35" s="14">
        <f>G35/$G$77*100</f>
        <v>2.1834061135371177</v>
      </c>
      <c r="I35" s="9">
        <f>C35</f>
        <v>1</v>
      </c>
      <c r="J35" s="9">
        <f>G35</f>
        <v>5</v>
      </c>
      <c r="K35" s="14">
        <f aca="true" t="shared" si="1" ref="K35:K66">J35/$J$79*100</f>
        <v>0.40257648953301123</v>
      </c>
    </row>
    <row r="36" spans="1:11" ht="12.75">
      <c r="A36" t="s">
        <v>445</v>
      </c>
      <c r="B36" t="s">
        <v>446</v>
      </c>
      <c r="I36" s="9">
        <f>'2004'!C14+'2008'!C36</f>
        <v>1</v>
      </c>
      <c r="J36" s="9">
        <f>'2003'!G16</f>
        <v>7</v>
      </c>
      <c r="K36" s="14">
        <f t="shared" si="1"/>
        <v>0.5636070853462157</v>
      </c>
    </row>
    <row r="37" spans="1:11" ht="12.75">
      <c r="A37" t="s">
        <v>419</v>
      </c>
      <c r="B37" t="s">
        <v>420</v>
      </c>
      <c r="I37" s="9">
        <f>'2004'!C15+'2005'!C19+'2006'!C38+'2008'!G37</f>
        <v>4</v>
      </c>
      <c r="J37" s="9">
        <f>'2004'!G15+'2005'!G19+'2006'!G38+'2008'!G37</f>
        <v>20</v>
      </c>
      <c r="K37" s="14">
        <f t="shared" si="1"/>
        <v>1.610305958132045</v>
      </c>
    </row>
    <row r="38" spans="1:11" ht="12.75">
      <c r="A38" t="s">
        <v>551</v>
      </c>
      <c r="B38" t="s">
        <v>552</v>
      </c>
      <c r="C38">
        <v>1</v>
      </c>
      <c r="D38">
        <v>0</v>
      </c>
      <c r="E38">
        <v>3</v>
      </c>
      <c r="F38">
        <v>3</v>
      </c>
      <c r="G38" s="9">
        <f>E38+F38</f>
        <v>6</v>
      </c>
      <c r="H38" s="14">
        <f>G38/$G$77*100</f>
        <v>2.6200873362445414</v>
      </c>
      <c r="I38" s="9">
        <f>C38</f>
        <v>1</v>
      </c>
      <c r="J38" s="9">
        <f>G38</f>
        <v>6</v>
      </c>
      <c r="K38" s="14">
        <f t="shared" si="1"/>
        <v>0.4830917874396135</v>
      </c>
    </row>
    <row r="39" spans="1:11" ht="12.75">
      <c r="A39" t="s">
        <v>553</v>
      </c>
      <c r="B39" t="s">
        <v>554</v>
      </c>
      <c r="C39">
        <v>2</v>
      </c>
      <c r="D39">
        <v>1</v>
      </c>
      <c r="E39">
        <v>1</v>
      </c>
      <c r="F39">
        <v>0</v>
      </c>
      <c r="G39" s="9">
        <f>E39+F39</f>
        <v>1</v>
      </c>
      <c r="H39" s="14">
        <f>G39/$G$77*100</f>
        <v>0.43668122270742354</v>
      </c>
      <c r="I39" s="9">
        <f>C39</f>
        <v>2</v>
      </c>
      <c r="J39" s="9">
        <f>G39</f>
        <v>1</v>
      </c>
      <c r="K39" s="14">
        <f t="shared" si="1"/>
        <v>0.08051529790660225</v>
      </c>
    </row>
    <row r="40" spans="1:11" ht="12.75">
      <c r="A40" t="s">
        <v>555</v>
      </c>
      <c r="B40" t="s">
        <v>556</v>
      </c>
      <c r="C40">
        <v>1</v>
      </c>
      <c r="D40">
        <v>0</v>
      </c>
      <c r="E40">
        <v>5</v>
      </c>
      <c r="F40">
        <v>2</v>
      </c>
      <c r="G40" s="9">
        <f>E40+F40</f>
        <v>7</v>
      </c>
      <c r="H40" s="14">
        <f>G40/$G$77*100</f>
        <v>3.056768558951965</v>
      </c>
      <c r="I40" s="9">
        <f>C40</f>
        <v>1</v>
      </c>
      <c r="J40" s="9">
        <f>G40</f>
        <v>7</v>
      </c>
      <c r="K40" s="14">
        <f t="shared" si="1"/>
        <v>0.5636070853462157</v>
      </c>
    </row>
    <row r="41" spans="1:11" ht="12.75">
      <c r="A41" t="s">
        <v>198</v>
      </c>
      <c r="B41" t="s">
        <v>199</v>
      </c>
      <c r="I41" s="9">
        <f>'2004'!C16+'2005'!C20+'2008'!C41</f>
        <v>4</v>
      </c>
      <c r="J41" s="9">
        <f>'2004'!G16+'2005'!G20</f>
        <v>21</v>
      </c>
      <c r="K41" s="14">
        <f t="shared" si="1"/>
        <v>1.6908212560386473</v>
      </c>
    </row>
    <row r="42" spans="1:11" ht="12.75">
      <c r="A42" t="s">
        <v>388</v>
      </c>
      <c r="B42" t="s">
        <v>354</v>
      </c>
      <c r="I42" s="9">
        <f>'2005'!C21+'2008'!C42</f>
        <v>3</v>
      </c>
      <c r="J42" s="9">
        <f>'2005'!G21+'2008'!G42</f>
        <v>7</v>
      </c>
      <c r="K42" s="14">
        <f t="shared" si="1"/>
        <v>0.5636070853462157</v>
      </c>
    </row>
    <row r="43" spans="1:11" ht="12.75">
      <c r="A43" t="s">
        <v>500</v>
      </c>
      <c r="B43" t="s">
        <v>358</v>
      </c>
      <c r="C43">
        <v>1</v>
      </c>
      <c r="D43">
        <v>0</v>
      </c>
      <c r="E43">
        <v>3</v>
      </c>
      <c r="F43">
        <v>4</v>
      </c>
      <c r="G43" s="9">
        <f>E43+F43</f>
        <v>7</v>
      </c>
      <c r="H43" s="14">
        <f>G43/$G$77*100</f>
        <v>3.056768558951965</v>
      </c>
      <c r="I43" s="9">
        <f>'2004'!C17+'2005'!C22+'2008'!C43</f>
        <v>4</v>
      </c>
      <c r="J43" s="9">
        <f>'2004'!G17+'2005'!G22+'2008'!G43</f>
        <v>26</v>
      </c>
      <c r="K43" s="14">
        <f t="shared" si="1"/>
        <v>2.0933977455716586</v>
      </c>
    </row>
    <row r="44" spans="1:11" ht="12.75">
      <c r="A44" t="s">
        <v>501</v>
      </c>
      <c r="B44" t="s">
        <v>423</v>
      </c>
      <c r="I44" s="9">
        <f>'2004'!C18+'2005'!C23+'2006'!C43+'2007'!C39</f>
        <v>8</v>
      </c>
      <c r="J44" s="9">
        <f>'2004'!G18+'2005'!G23+'2006'!G43+'2007'!G39+'2008'!G44</f>
        <v>50</v>
      </c>
      <c r="K44" s="69">
        <f t="shared" si="1"/>
        <v>4.025764895330113</v>
      </c>
    </row>
    <row r="45" spans="1:11" ht="12.75">
      <c r="A45" t="s">
        <v>557</v>
      </c>
      <c r="B45" t="s">
        <v>558</v>
      </c>
      <c r="C45">
        <v>3</v>
      </c>
      <c r="D45">
        <v>0</v>
      </c>
      <c r="E45">
        <v>10</v>
      </c>
      <c r="F45">
        <v>11</v>
      </c>
      <c r="G45" s="9">
        <f>E45+F45</f>
        <v>21</v>
      </c>
      <c r="H45" s="14">
        <f>G45/$G$77*100</f>
        <v>9.170305676855897</v>
      </c>
      <c r="I45" s="9">
        <f>C45</f>
        <v>3</v>
      </c>
      <c r="J45" s="9">
        <f>G45</f>
        <v>21</v>
      </c>
      <c r="K45" s="14">
        <f t="shared" si="1"/>
        <v>1.6908212560386473</v>
      </c>
    </row>
    <row r="46" spans="1:11" ht="12.75">
      <c r="A46" t="s">
        <v>473</v>
      </c>
      <c r="B46" t="s">
        <v>474</v>
      </c>
      <c r="I46" s="9">
        <f>'2005'!C24+'2006'!C47+'2008'!C46</f>
        <v>4</v>
      </c>
      <c r="J46" s="9">
        <f>'2005'!G24+'2006'!G47+'2008'!G46</f>
        <v>28</v>
      </c>
      <c r="K46" s="14">
        <f t="shared" si="1"/>
        <v>2.254428341384863</v>
      </c>
    </row>
    <row r="47" spans="1:11" ht="12.75">
      <c r="A47" t="s">
        <v>448</v>
      </c>
      <c r="B47" t="s">
        <v>449</v>
      </c>
      <c r="I47" s="9">
        <f>'2006'!C48+'2008'!C47</f>
        <v>1</v>
      </c>
      <c r="J47" s="9">
        <f>'2006'!G48+'2008'!G47</f>
        <v>7</v>
      </c>
      <c r="K47" s="14">
        <f t="shared" si="1"/>
        <v>0.5636070853462157</v>
      </c>
    </row>
    <row r="48" spans="1:11" ht="12.75">
      <c r="A48" t="s">
        <v>427</v>
      </c>
      <c r="B48" t="s">
        <v>360</v>
      </c>
      <c r="I48" s="9">
        <f>'2004'!C20+'2005'!C26+'2006'!C49+'2007'!C43+'2008'!C48</f>
        <v>6</v>
      </c>
      <c r="J48" s="9">
        <f>'2004'!G20+'2005'!G26+'2006'!G49+'2007'!G43+'2008'!G48</f>
        <v>40</v>
      </c>
      <c r="K48" s="14">
        <f t="shared" si="1"/>
        <v>3.22061191626409</v>
      </c>
    </row>
    <row r="49" spans="1:11" ht="12.75">
      <c r="A49" t="s">
        <v>450</v>
      </c>
      <c r="B49" t="s">
        <v>363</v>
      </c>
      <c r="I49" s="9">
        <f>'2004'!C21+'2005'!C27+'2006'!C50+'2007'!C44+'2007'!C44+'2008'!G49</f>
        <v>6</v>
      </c>
      <c r="J49" s="9">
        <f>'2004'!G21+'2005'!G27+'2006'!G50+'2007'!G44+'2008'!G49</f>
        <v>21</v>
      </c>
      <c r="K49" s="14">
        <f t="shared" si="1"/>
        <v>1.6908212560386473</v>
      </c>
    </row>
    <row r="50" spans="1:11" ht="12.75">
      <c r="A50" t="s">
        <v>451</v>
      </c>
      <c r="B50" t="s">
        <v>317</v>
      </c>
      <c r="I50" s="9">
        <f>'2004'!C22+'2005'!C28+'2006'!C51+'2007'!C45+'2008'!C50</f>
        <v>1</v>
      </c>
      <c r="J50" s="9">
        <f>'2004'!G22</f>
        <v>5</v>
      </c>
      <c r="K50" s="14">
        <f t="shared" si="1"/>
        <v>0.40257648953301123</v>
      </c>
    </row>
    <row r="51" spans="1:11" ht="12.75">
      <c r="A51" t="s">
        <v>559</v>
      </c>
      <c r="B51" t="s">
        <v>560</v>
      </c>
      <c r="C51">
        <v>2</v>
      </c>
      <c r="D51">
        <v>0</v>
      </c>
      <c r="E51">
        <v>9</v>
      </c>
      <c r="F51">
        <v>8</v>
      </c>
      <c r="G51" s="9">
        <f>E51+F51</f>
        <v>17</v>
      </c>
      <c r="H51" s="14">
        <f>G51/$G$77*100</f>
        <v>7.423580786026202</v>
      </c>
      <c r="I51" s="9">
        <f>C51</f>
        <v>2</v>
      </c>
      <c r="J51" s="9">
        <f>G51</f>
        <v>17</v>
      </c>
      <c r="K51" s="14">
        <f t="shared" si="1"/>
        <v>1.3687600644122384</v>
      </c>
    </row>
    <row r="52" spans="1:11" ht="12.75">
      <c r="A52" t="s">
        <v>452</v>
      </c>
      <c r="B52" t="s">
        <v>365</v>
      </c>
      <c r="C52">
        <v>3</v>
      </c>
      <c r="D52">
        <v>0</v>
      </c>
      <c r="E52">
        <v>10</v>
      </c>
      <c r="F52">
        <v>15</v>
      </c>
      <c r="G52" s="9">
        <f>E52+F52</f>
        <v>25</v>
      </c>
      <c r="H52" s="14">
        <f>G52/$G$77*100</f>
        <v>10.91703056768559</v>
      </c>
      <c r="I52" s="9">
        <f>'2004'!C23+'2005'!C29+'2006'!C54+'2007'!C47+'2008'!C52</f>
        <v>13</v>
      </c>
      <c r="J52" s="9">
        <f>'2004'!G23+'2005'!G29+'2007'!G47+'2008'!G52</f>
        <v>87</v>
      </c>
      <c r="K52" s="69">
        <f t="shared" si="1"/>
        <v>7.004830917874397</v>
      </c>
    </row>
    <row r="53" spans="1:11" ht="12.75">
      <c r="A53" t="s">
        <v>453</v>
      </c>
      <c r="B53" t="s">
        <v>454</v>
      </c>
      <c r="I53" s="9">
        <f>'2004'!C24+'2005'!C30+'2006'!C55+'2007'!C48+'2008'!C53</f>
        <v>1</v>
      </c>
      <c r="J53" s="9">
        <f>'2004'!G24</f>
        <v>8</v>
      </c>
      <c r="K53" s="14">
        <f t="shared" si="1"/>
        <v>0.644122383252818</v>
      </c>
    </row>
    <row r="54" spans="1:11" ht="12.75">
      <c r="A54" t="s">
        <v>455</v>
      </c>
      <c r="B54" t="s">
        <v>456</v>
      </c>
      <c r="I54" s="9">
        <f>'2004'!C25+'2008'!C54</f>
        <v>2</v>
      </c>
      <c r="J54" s="9">
        <f>'2004'!G25</f>
        <v>14</v>
      </c>
      <c r="K54" s="14">
        <f t="shared" si="1"/>
        <v>1.1272141706924315</v>
      </c>
    </row>
    <row r="55" spans="1:11" ht="12.75">
      <c r="A55" t="s">
        <v>457</v>
      </c>
      <c r="B55" t="s">
        <v>458</v>
      </c>
      <c r="I55" s="9">
        <f>'2004'!C26+'2008'!G55</f>
        <v>1</v>
      </c>
      <c r="J55" s="9">
        <f>'2004'!G26</f>
        <v>9</v>
      </c>
      <c r="K55" s="14">
        <f t="shared" si="1"/>
        <v>0.7246376811594203</v>
      </c>
    </row>
    <row r="56" spans="1:11" ht="12.75">
      <c r="A56" t="s">
        <v>502</v>
      </c>
      <c r="E56" s="9">
        <f>SUM(E3:E55)</f>
        <v>90</v>
      </c>
      <c r="F56" s="9">
        <f>SUM(F3:F55)</f>
        <v>107</v>
      </c>
      <c r="G56" s="9">
        <f>SUM(G3:G55)</f>
        <v>197</v>
      </c>
      <c r="H56" s="14">
        <f>G56/$G$77*100</f>
        <v>86.02620087336244</v>
      </c>
      <c r="J56" s="9">
        <f>SUM(J3:J55)</f>
        <v>1033</v>
      </c>
      <c r="K56" s="14">
        <f t="shared" si="1"/>
        <v>83.17230273752013</v>
      </c>
    </row>
    <row r="57" ht="12.75">
      <c r="K57" s="14"/>
    </row>
    <row r="58" ht="12.75">
      <c r="K58" s="14"/>
    </row>
    <row r="59" spans="1:11" ht="12.75">
      <c r="A59" t="s">
        <v>526</v>
      </c>
      <c r="B59" t="s">
        <v>527</v>
      </c>
      <c r="I59" s="9">
        <f>'2007'!I54+'2008'!C59</f>
        <v>1</v>
      </c>
      <c r="J59" s="9">
        <f>'2007'!J54+'2008'!G59</f>
        <v>2</v>
      </c>
      <c r="K59" s="14">
        <f aca="true" t="shared" si="2" ref="K59:K73">J59/$J$79*100</f>
        <v>0.1610305958132045</v>
      </c>
    </row>
    <row r="60" spans="1:11" ht="12.75">
      <c r="A60" t="s">
        <v>475</v>
      </c>
      <c r="B60" t="s">
        <v>476</v>
      </c>
      <c r="I60" s="9">
        <f>'2005'!C36+'2008'!C60</f>
        <v>1</v>
      </c>
      <c r="J60" s="9">
        <f>'2005'!G36</f>
        <v>8</v>
      </c>
      <c r="K60" s="14">
        <f t="shared" si="2"/>
        <v>0.644122383252818</v>
      </c>
    </row>
    <row r="61" spans="1:11" ht="12.75">
      <c r="A61" t="s">
        <v>403</v>
      </c>
      <c r="B61" t="s">
        <v>477</v>
      </c>
      <c r="I61" s="9">
        <f>'2005'!C37+'2008'!C61</f>
        <v>1</v>
      </c>
      <c r="J61" s="9">
        <f>'2005'!G37</f>
        <v>6</v>
      </c>
      <c r="K61" s="14">
        <f t="shared" si="2"/>
        <v>0.4830917874396135</v>
      </c>
    </row>
    <row r="62" spans="1:11" ht="12.75">
      <c r="A62" t="s">
        <v>528</v>
      </c>
      <c r="B62" t="s">
        <v>529</v>
      </c>
      <c r="I62" s="9">
        <f>'2007'!C58+'2008'!C62</f>
        <v>1</v>
      </c>
      <c r="J62" s="9">
        <f>'2007'!G58</f>
        <v>1</v>
      </c>
      <c r="K62" s="14">
        <f t="shared" si="2"/>
        <v>0.08051529790660225</v>
      </c>
    </row>
    <row r="63" spans="1:11" ht="12.75">
      <c r="A63" t="s">
        <v>503</v>
      </c>
      <c r="B63" t="s">
        <v>504</v>
      </c>
      <c r="C63">
        <v>3</v>
      </c>
      <c r="D63">
        <v>0</v>
      </c>
      <c r="E63">
        <v>12</v>
      </c>
      <c r="F63">
        <v>12</v>
      </c>
      <c r="G63" s="9">
        <f>E63+F63</f>
        <v>24</v>
      </c>
      <c r="H63" s="14">
        <f>G63/$G$77*100</f>
        <v>10.480349344978166</v>
      </c>
      <c r="I63" s="9">
        <f>'2006'!C66+'2007'!C59+'2008'!C63</f>
        <v>5</v>
      </c>
      <c r="J63" s="9">
        <f>'2006'!G66+'2007'!G59+'2008'!G63</f>
        <v>38</v>
      </c>
      <c r="K63" s="14">
        <f t="shared" si="2"/>
        <v>3.059581320450886</v>
      </c>
    </row>
    <row r="64" spans="1:11" ht="12.75">
      <c r="A64" t="s">
        <v>505</v>
      </c>
      <c r="B64" t="s">
        <v>506</v>
      </c>
      <c r="I64" s="9">
        <f>'2006'!C70+'2007'!C61+'2008'!C64</f>
        <v>2</v>
      </c>
      <c r="J64" s="9">
        <f>'2006'!G70+'2007'!G61+'2008'!G64</f>
        <v>13</v>
      </c>
      <c r="K64" s="14">
        <f t="shared" si="2"/>
        <v>1.0466988727858293</v>
      </c>
    </row>
    <row r="65" spans="1:11" ht="12.75">
      <c r="A65" t="s">
        <v>478</v>
      </c>
      <c r="B65" s="50" t="s">
        <v>479</v>
      </c>
      <c r="I65" s="9">
        <f>'2005'!C38+'2008'!C65</f>
        <v>1</v>
      </c>
      <c r="J65" s="9">
        <f>'2005'!G38</f>
        <v>7</v>
      </c>
      <c r="K65" s="14">
        <f t="shared" si="2"/>
        <v>0.5636070853462157</v>
      </c>
    </row>
    <row r="66" spans="1:11" ht="12.75">
      <c r="A66" t="s">
        <v>530</v>
      </c>
      <c r="B66" s="50" t="s">
        <v>508</v>
      </c>
      <c r="I66" s="9">
        <f>'2006'!C72</f>
        <v>1</v>
      </c>
      <c r="J66" s="9">
        <f>'2006'!G72</f>
        <v>1</v>
      </c>
      <c r="K66" s="14">
        <f t="shared" si="2"/>
        <v>0.08051529790660225</v>
      </c>
    </row>
    <row r="67" spans="1:11" ht="12.75">
      <c r="A67" t="s">
        <v>413</v>
      </c>
      <c r="B67" t="s">
        <v>414</v>
      </c>
      <c r="I67" s="9">
        <f>'2005'!C39+'2008'!C67</f>
        <v>1</v>
      </c>
      <c r="J67" s="9">
        <f>SUM(J64)</f>
        <v>13</v>
      </c>
      <c r="K67" s="14">
        <f t="shared" si="2"/>
        <v>1.0466988727858293</v>
      </c>
    </row>
    <row r="68" spans="1:11" ht="12.75">
      <c r="A68" t="s">
        <v>419</v>
      </c>
      <c r="B68" t="s">
        <v>420</v>
      </c>
      <c r="I68" s="9">
        <f>'2007'!C66+'2008'!C68</f>
        <v>1</v>
      </c>
      <c r="J68" s="9">
        <f>'2007'!G66+'2008'!G68</f>
        <v>9</v>
      </c>
      <c r="K68" s="14">
        <f t="shared" si="2"/>
        <v>0.7246376811594203</v>
      </c>
    </row>
    <row r="69" spans="1:11" ht="12.75">
      <c r="A69" t="s">
        <v>391</v>
      </c>
      <c r="B69" t="s">
        <v>392</v>
      </c>
      <c r="I69" s="9">
        <f>'2005'!C40+'2008'!C69</f>
        <v>1</v>
      </c>
      <c r="J69" s="9">
        <f>'2005'!G40</f>
        <v>7</v>
      </c>
      <c r="K69" s="14">
        <f t="shared" si="2"/>
        <v>0.5636070853462157</v>
      </c>
    </row>
    <row r="70" spans="1:11" ht="12.75">
      <c r="A70" t="s">
        <v>561</v>
      </c>
      <c r="B70" t="s">
        <v>562</v>
      </c>
      <c r="C70">
        <v>1</v>
      </c>
      <c r="D70">
        <v>0</v>
      </c>
      <c r="E70">
        <v>0</v>
      </c>
      <c r="F70">
        <v>1</v>
      </c>
      <c r="G70" s="9">
        <f>E70+F70</f>
        <v>1</v>
      </c>
      <c r="H70" s="14">
        <f>G70/$G$77*100</f>
        <v>0.43668122270742354</v>
      </c>
      <c r="I70" s="9">
        <f>'2008'!C70</f>
        <v>1</v>
      </c>
      <c r="J70" s="9">
        <f>G70</f>
        <v>1</v>
      </c>
      <c r="K70" s="14">
        <f t="shared" si="2"/>
        <v>0.08051529790660225</v>
      </c>
    </row>
    <row r="71" spans="1:11" ht="12.75">
      <c r="A71" t="s">
        <v>482</v>
      </c>
      <c r="B71" t="s">
        <v>483</v>
      </c>
      <c r="I71" s="9">
        <f>'2005'!C41+'2006'!C76+'2008'!C71</f>
        <v>2</v>
      </c>
      <c r="J71" s="9">
        <f>'2005'!G41+'2006'!G76+'2008'!G71</f>
        <v>16</v>
      </c>
      <c r="K71" s="14">
        <f t="shared" si="2"/>
        <v>1.288244766505636</v>
      </c>
    </row>
    <row r="72" spans="1:11" ht="12.75">
      <c r="A72" t="s">
        <v>510</v>
      </c>
      <c r="J72">
        <v>63</v>
      </c>
      <c r="K72" s="14">
        <f t="shared" si="2"/>
        <v>5.072463768115942</v>
      </c>
    </row>
    <row r="73" spans="1:11" ht="12.75">
      <c r="A73" t="s">
        <v>511</v>
      </c>
      <c r="E73" s="9">
        <f>SUM(E59:E72)</f>
        <v>12</v>
      </c>
      <c r="F73" s="9">
        <f>SUM(F59:F72)</f>
        <v>13</v>
      </c>
      <c r="G73" s="9">
        <f>SUM(G59:G72)</f>
        <v>25</v>
      </c>
      <c r="H73" s="14">
        <f>G73/$G$77*100</f>
        <v>10.91703056768559</v>
      </c>
      <c r="J73" s="9">
        <f>SUM(J59:J72)</f>
        <v>185</v>
      </c>
      <c r="K73" s="14">
        <f t="shared" si="2"/>
        <v>14.895330112721417</v>
      </c>
    </row>
    <row r="74" spans="1:11" ht="12.75">
      <c r="A74" t="s">
        <v>531</v>
      </c>
      <c r="K74" s="14"/>
    </row>
    <row r="75" ht="12.75">
      <c r="K75" s="14"/>
    </row>
    <row r="76" spans="1:11" ht="12.75">
      <c r="A76" t="s">
        <v>462</v>
      </c>
      <c r="G76">
        <v>7</v>
      </c>
      <c r="H76" s="14">
        <f>G76/$G$77*100</f>
        <v>3.056768558951965</v>
      </c>
      <c r="J76" s="9">
        <f>'2004'!G29+'2005'!G44+'2006'!G80+'2007'!G73+G76</f>
        <v>24</v>
      </c>
      <c r="K76" s="14">
        <f>J76/$J$79*100</f>
        <v>1.932367149758454</v>
      </c>
    </row>
    <row r="77" spans="1:11" ht="12.75">
      <c r="A77" t="s">
        <v>533</v>
      </c>
      <c r="G77" s="9">
        <f>G56+G73+G76</f>
        <v>229</v>
      </c>
      <c r="H77" s="14">
        <f>G77/$G$77*100</f>
        <v>100</v>
      </c>
      <c r="J77" s="9">
        <f>SUM(J76)</f>
        <v>24</v>
      </c>
      <c r="K77" s="14">
        <f>J77/$J$79*100</f>
        <v>1.932367149758454</v>
      </c>
    </row>
    <row r="79" spans="1:10" ht="12.75">
      <c r="A79" t="s">
        <v>534</v>
      </c>
      <c r="J79" s="9">
        <f>J56+J73+J77</f>
        <v>1242</v>
      </c>
    </row>
    <row r="81" spans="1:2" ht="12.75">
      <c r="A81" t="s">
        <v>6</v>
      </c>
      <c r="B81">
        <v>20</v>
      </c>
    </row>
    <row r="82" spans="1:2" ht="12.75">
      <c r="A82" t="s">
        <v>7</v>
      </c>
      <c r="B82">
        <v>32</v>
      </c>
    </row>
    <row r="83" spans="1:2" ht="12.75">
      <c r="A83" t="s">
        <v>563</v>
      </c>
      <c r="B83" s="9">
        <f>4*(B81*B82)/(B81+B82)</f>
        <v>49.23076923076923</v>
      </c>
    </row>
    <row r="85" spans="1:2" ht="12.75">
      <c r="A85" t="s">
        <v>564</v>
      </c>
      <c r="B85" s="9">
        <f>(B83/B82)*50</f>
        <v>76.92307692307693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7"/>
  <sheetViews>
    <sheetView zoomScale="90" zoomScaleNormal="90" zoomScalePageLayoutView="0" workbookViewId="0" topLeftCell="A49">
      <selection activeCell="A58" sqref="A58"/>
    </sheetView>
  </sheetViews>
  <sheetFormatPr defaultColWidth="9.140625" defaultRowHeight="12.75"/>
  <cols>
    <col min="1" max="1" width="19.8515625" style="0" customWidth="1"/>
    <col min="2" max="2" width="12.00390625" style="0" customWidth="1"/>
    <col min="13" max="16" width="5.00390625" style="0" customWidth="1"/>
    <col min="17" max="17" width="4.00390625" style="0" customWidth="1"/>
  </cols>
  <sheetData>
    <row r="1" spans="1:12" ht="12.75" customHeight="1">
      <c r="A1" s="2" t="s">
        <v>0</v>
      </c>
      <c r="B1" s="48">
        <v>2009</v>
      </c>
      <c r="C1" s="100" t="s">
        <v>4</v>
      </c>
      <c r="D1" s="101" t="s">
        <v>368</v>
      </c>
      <c r="E1" s="100" t="s">
        <v>6</v>
      </c>
      <c r="F1" s="100" t="s">
        <v>7</v>
      </c>
      <c r="G1" s="2"/>
      <c r="H1" s="17"/>
      <c r="I1" s="100" t="s">
        <v>294</v>
      </c>
      <c r="J1" s="100" t="s">
        <v>295</v>
      </c>
      <c r="K1" s="100" t="s">
        <v>322</v>
      </c>
      <c r="L1" s="102" t="s">
        <v>13</v>
      </c>
    </row>
    <row r="2" spans="1:12" ht="18" customHeight="1">
      <c r="A2" s="49" t="s">
        <v>431</v>
      </c>
      <c r="B2" s="49" t="s">
        <v>3</v>
      </c>
      <c r="C2" s="100"/>
      <c r="D2" s="101"/>
      <c r="E2" s="100"/>
      <c r="F2" s="100"/>
      <c r="G2" s="2" t="s">
        <v>8</v>
      </c>
      <c r="H2" s="17" t="s">
        <v>9</v>
      </c>
      <c r="I2" s="100"/>
      <c r="J2" s="100"/>
      <c r="K2" s="100"/>
      <c r="L2" s="102"/>
    </row>
    <row r="3" spans="1:11" ht="12.75">
      <c r="A3" t="s">
        <v>526</v>
      </c>
      <c r="B3" t="s">
        <v>527</v>
      </c>
      <c r="C3">
        <v>2</v>
      </c>
      <c r="D3">
        <v>1</v>
      </c>
      <c r="E3">
        <v>4</v>
      </c>
      <c r="F3">
        <v>4</v>
      </c>
      <c r="G3" s="9">
        <f>E3+F3</f>
        <v>8</v>
      </c>
      <c r="H3" s="14">
        <f>G3/$G$86*100</f>
        <v>2.8368794326241136</v>
      </c>
      <c r="I3" s="9">
        <f>'2008'!C3+'2009'!C3</f>
        <v>5</v>
      </c>
      <c r="J3" s="9">
        <f>'2008'!G3+'2009'!G3</f>
        <v>27</v>
      </c>
      <c r="K3" s="14">
        <f aca="true" t="shared" si="0" ref="K3:K34">J3/$J$88*100</f>
        <v>2.2040816326530615</v>
      </c>
    </row>
    <row r="4" spans="1:11" ht="12.75">
      <c r="A4" t="s">
        <v>516</v>
      </c>
      <c r="B4" t="s">
        <v>517</v>
      </c>
      <c r="C4">
        <v>1</v>
      </c>
      <c r="D4">
        <v>1</v>
      </c>
      <c r="H4" s="14"/>
      <c r="I4" s="9">
        <f>'2007'!C4+'2008'!C5+'2009'!C4</f>
        <v>4</v>
      </c>
      <c r="J4" s="9">
        <f>'2007'!G4+'2008'!G5+'2009'!G4</f>
        <v>14</v>
      </c>
      <c r="K4" s="14">
        <f t="shared" si="0"/>
        <v>1.1428571428571428</v>
      </c>
    </row>
    <row r="5" spans="1:11" ht="12.75">
      <c r="A5" t="s">
        <v>435</v>
      </c>
      <c r="B5" t="s">
        <v>436</v>
      </c>
      <c r="H5" s="14"/>
      <c r="I5" s="9">
        <f>'2006'!C6+'2009'!C5</f>
        <v>1</v>
      </c>
      <c r="J5" s="9">
        <f>'2006'!G6+'2009'!G5</f>
        <v>10</v>
      </c>
      <c r="K5" s="14">
        <f t="shared" si="0"/>
        <v>0.8163265306122449</v>
      </c>
    </row>
    <row r="6" spans="1:11" ht="12.75">
      <c r="A6" t="s">
        <v>565</v>
      </c>
      <c r="B6" t="s">
        <v>566</v>
      </c>
      <c r="C6">
        <v>1</v>
      </c>
      <c r="D6">
        <v>0</v>
      </c>
      <c r="E6">
        <v>3</v>
      </c>
      <c r="F6">
        <v>0</v>
      </c>
      <c r="G6" s="9">
        <f>E6+F6</f>
        <v>3</v>
      </c>
      <c r="H6" s="14">
        <f>G6/$G$86*100</f>
        <v>1.0638297872340425</v>
      </c>
      <c r="I6" s="9">
        <f>C6</f>
        <v>1</v>
      </c>
      <c r="J6" s="9">
        <f>G6</f>
        <v>3</v>
      </c>
      <c r="K6" s="14">
        <f t="shared" si="0"/>
        <v>0.24489795918367346</v>
      </c>
    </row>
    <row r="7" spans="1:11" ht="12.75">
      <c r="A7" t="s">
        <v>518</v>
      </c>
      <c r="B7" t="s">
        <v>519</v>
      </c>
      <c r="C7">
        <v>2</v>
      </c>
      <c r="D7">
        <v>0</v>
      </c>
      <c r="E7">
        <v>3</v>
      </c>
      <c r="F7">
        <v>7</v>
      </c>
      <c r="G7" s="9">
        <f>E7+F7</f>
        <v>10</v>
      </c>
      <c r="H7" s="14">
        <f>G7/$G$86*100</f>
        <v>3.546099290780142</v>
      </c>
      <c r="I7" s="9">
        <f>'2007'!C7+'2009'!C7</f>
        <v>3</v>
      </c>
      <c r="J7" s="9">
        <f>'2007'!G7+'2009'!G7</f>
        <v>19</v>
      </c>
      <c r="K7" s="14">
        <f t="shared" si="0"/>
        <v>1.5510204081632653</v>
      </c>
    </row>
    <row r="8" spans="1:11" ht="12.75">
      <c r="A8" t="s">
        <v>466</v>
      </c>
      <c r="B8" t="s">
        <v>467</v>
      </c>
      <c r="H8" s="14"/>
      <c r="I8" s="9">
        <f>'2005'!C7+'2007'!C8+'2009'!C8</f>
        <v>4</v>
      </c>
      <c r="J8" s="9">
        <f>'2005'!G7+'2007'!G8+'2009'!G8</f>
        <v>27</v>
      </c>
      <c r="K8" s="14">
        <f t="shared" si="0"/>
        <v>2.2040816326530615</v>
      </c>
    </row>
    <row r="9" spans="1:11" ht="12.75">
      <c r="A9" t="s">
        <v>520</v>
      </c>
      <c r="B9" t="s">
        <v>521</v>
      </c>
      <c r="C9">
        <v>1</v>
      </c>
      <c r="D9">
        <v>1</v>
      </c>
      <c r="H9" s="14"/>
      <c r="I9" s="9">
        <f>'2007'!C10+'2008'!C9+'2009'!C9</f>
        <v>4</v>
      </c>
      <c r="J9" s="9">
        <f>'2007'!G10+'2009'!G9</f>
        <v>5</v>
      </c>
      <c r="K9" s="14">
        <f t="shared" si="0"/>
        <v>0.40816326530612246</v>
      </c>
    </row>
    <row r="10" spans="1:11" ht="12.75">
      <c r="A10" t="s">
        <v>432</v>
      </c>
      <c r="B10" t="s">
        <v>402</v>
      </c>
      <c r="H10" s="14"/>
      <c r="I10" s="9">
        <f>'2005'!C8+'2006'!C10+'2007'!C11+'2009'!C10</f>
        <v>4</v>
      </c>
      <c r="J10" s="9">
        <f>'2005'!G8+'2006'!G10+'2007'!G11+'2009'!G10</f>
        <v>29</v>
      </c>
      <c r="K10" s="14">
        <f t="shared" si="0"/>
        <v>2.36734693877551</v>
      </c>
    </row>
    <row r="11" spans="1:11" ht="12.75">
      <c r="A11" t="s">
        <v>567</v>
      </c>
      <c r="B11" t="s">
        <v>568</v>
      </c>
      <c r="C11">
        <v>1</v>
      </c>
      <c r="D11">
        <v>0</v>
      </c>
      <c r="E11">
        <v>5</v>
      </c>
      <c r="F11">
        <v>5</v>
      </c>
      <c r="G11" s="9">
        <f>E11+F11</f>
        <v>10</v>
      </c>
      <c r="H11" s="14">
        <f>G11/$G$86*100</f>
        <v>3.546099290780142</v>
      </c>
      <c r="I11" s="9">
        <f>C11</f>
        <v>1</v>
      </c>
      <c r="J11" s="9">
        <f>G11</f>
        <v>10</v>
      </c>
      <c r="K11" s="14">
        <f t="shared" si="0"/>
        <v>0.8163265306122449</v>
      </c>
    </row>
    <row r="12" spans="1:11" ht="12.75">
      <c r="A12" t="s">
        <v>535</v>
      </c>
      <c r="B12" t="s">
        <v>536</v>
      </c>
      <c r="H12" s="14"/>
      <c r="I12" s="9">
        <f>'2008'!C12</f>
        <v>2</v>
      </c>
      <c r="J12" s="9">
        <f>'2008'!G12</f>
        <v>7</v>
      </c>
      <c r="K12" s="14">
        <f t="shared" si="0"/>
        <v>0.5714285714285714</v>
      </c>
    </row>
    <row r="13" spans="1:11" ht="12.75">
      <c r="A13" t="s">
        <v>537</v>
      </c>
      <c r="B13" t="s">
        <v>538</v>
      </c>
      <c r="H13" s="14"/>
      <c r="I13" s="9">
        <f>'2008'!C13</f>
        <v>1</v>
      </c>
      <c r="J13" s="9">
        <f>'2008'!G13</f>
        <v>0</v>
      </c>
      <c r="K13" s="14">
        <f t="shared" si="0"/>
        <v>0</v>
      </c>
    </row>
    <row r="14" spans="1:11" ht="12.75">
      <c r="A14" t="s">
        <v>569</v>
      </c>
      <c r="B14" t="s">
        <v>570</v>
      </c>
      <c r="C14">
        <v>1</v>
      </c>
      <c r="D14">
        <v>0</v>
      </c>
      <c r="E14">
        <v>4</v>
      </c>
      <c r="F14">
        <v>2</v>
      </c>
      <c r="G14" s="9">
        <f>E14+F14</f>
        <v>6</v>
      </c>
      <c r="H14" s="14">
        <f>G14/$G$86*100</f>
        <v>2.127659574468085</v>
      </c>
      <c r="I14" s="9">
        <f>C14</f>
        <v>1</v>
      </c>
      <c r="J14" s="9">
        <f>G14</f>
        <v>6</v>
      </c>
      <c r="K14" s="14">
        <f t="shared" si="0"/>
        <v>0.4897959183673469</v>
      </c>
    </row>
    <row r="15" spans="1:11" ht="12.75">
      <c r="A15" t="s">
        <v>468</v>
      </c>
      <c r="B15" t="s">
        <v>469</v>
      </c>
      <c r="H15" s="14"/>
      <c r="I15" s="9">
        <f>'2005'!C9+'2006'!C13+'2008'!C14</f>
        <v>4</v>
      </c>
      <c r="J15" s="9">
        <f>'2005'!G9+'2006'!G13+'2008'!G14</f>
        <v>41</v>
      </c>
      <c r="K15" s="14">
        <f t="shared" si="0"/>
        <v>3.346938775510204</v>
      </c>
    </row>
    <row r="16" spans="1:11" ht="12.75">
      <c r="A16" t="s">
        <v>571</v>
      </c>
      <c r="B16" t="s">
        <v>572</v>
      </c>
      <c r="C16">
        <v>1</v>
      </c>
      <c r="D16">
        <v>0</v>
      </c>
      <c r="E16">
        <v>2</v>
      </c>
      <c r="F16">
        <v>8</v>
      </c>
      <c r="G16" s="9">
        <f>E16+F16</f>
        <v>10</v>
      </c>
      <c r="H16" s="14">
        <f>G16/$G$86*100</f>
        <v>3.546099290780142</v>
      </c>
      <c r="I16" s="9">
        <f>C16</f>
        <v>1</v>
      </c>
      <c r="J16" s="9">
        <f>G16</f>
        <v>10</v>
      </c>
      <c r="K16" s="14">
        <f t="shared" si="0"/>
        <v>0.8163265306122449</v>
      </c>
    </row>
    <row r="17" spans="1:11" ht="12.75">
      <c r="A17" t="s">
        <v>539</v>
      </c>
      <c r="B17" t="s">
        <v>540</v>
      </c>
      <c r="C17">
        <v>2</v>
      </c>
      <c r="D17">
        <v>1</v>
      </c>
      <c r="E17">
        <v>4</v>
      </c>
      <c r="F17">
        <v>5</v>
      </c>
      <c r="G17" s="9">
        <f>E17+F17</f>
        <v>9</v>
      </c>
      <c r="H17" s="14">
        <f>G17/$G$86*100</f>
        <v>3.1914893617021276</v>
      </c>
      <c r="I17" s="9">
        <f>'2008'!C15+'2009'!C17</f>
        <v>5</v>
      </c>
      <c r="J17" s="9">
        <f>'2008'!G15+'2009'!G17</f>
        <v>23</v>
      </c>
      <c r="K17" s="14">
        <f t="shared" si="0"/>
        <v>1.8775510204081631</v>
      </c>
    </row>
    <row r="18" spans="1:11" ht="12.75">
      <c r="A18" t="s">
        <v>541</v>
      </c>
      <c r="B18" t="s">
        <v>542</v>
      </c>
      <c r="C18">
        <v>2</v>
      </c>
      <c r="D18">
        <v>0</v>
      </c>
      <c r="E18">
        <v>5</v>
      </c>
      <c r="F18">
        <v>8</v>
      </c>
      <c r="G18" s="9">
        <f>E18+F18</f>
        <v>13</v>
      </c>
      <c r="H18" s="14">
        <f>G18/$G$86*100</f>
        <v>4.609929078014184</v>
      </c>
      <c r="I18" s="9">
        <f>'2008'!C16+'2009'!C18</f>
        <v>3</v>
      </c>
      <c r="J18" s="9">
        <f>'2008'!G16+'2009'!G18</f>
        <v>13</v>
      </c>
      <c r="K18" s="14">
        <f t="shared" si="0"/>
        <v>1.0612244897959184</v>
      </c>
    </row>
    <row r="19" spans="1:11" ht="12.75">
      <c r="A19" t="s">
        <v>487</v>
      </c>
      <c r="B19" t="s">
        <v>438</v>
      </c>
      <c r="C19">
        <v>1</v>
      </c>
      <c r="D19">
        <v>0</v>
      </c>
      <c r="E19">
        <v>2</v>
      </c>
      <c r="F19">
        <v>2</v>
      </c>
      <c r="G19" s="9">
        <f>E19+F19</f>
        <v>4</v>
      </c>
      <c r="H19" s="14">
        <f>G19/$G$86*100</f>
        <v>1.4184397163120568</v>
      </c>
      <c r="I19" s="9">
        <f>'2005'!C10+'2006'!C16+'2007'!C16+'2009'!C19</f>
        <v>10</v>
      </c>
      <c r="J19" s="9">
        <f>'2005'!G10+'2006'!G16+'2007'!G16+'2009'!G19</f>
        <v>58</v>
      </c>
      <c r="K19" s="70">
        <f t="shared" si="0"/>
        <v>4.73469387755102</v>
      </c>
    </row>
    <row r="20" spans="1:11" ht="12.75">
      <c r="A20" t="s">
        <v>488</v>
      </c>
      <c r="B20" t="s">
        <v>489</v>
      </c>
      <c r="H20" s="14"/>
      <c r="I20" s="9">
        <f>'2006'!C17+'2007'!C17+'2009'!C20</f>
        <v>6</v>
      </c>
      <c r="J20" s="9">
        <f>'2006'!G17+'2007'!G17+'2009'!G20</f>
        <v>46</v>
      </c>
      <c r="K20" s="14">
        <f t="shared" si="0"/>
        <v>3.7551020408163263</v>
      </c>
    </row>
    <row r="21" spans="1:11" ht="12.75">
      <c r="A21" t="s">
        <v>573</v>
      </c>
      <c r="B21" t="s">
        <v>574</v>
      </c>
      <c r="C21">
        <v>2</v>
      </c>
      <c r="D21">
        <v>0</v>
      </c>
      <c r="E21">
        <v>11</v>
      </c>
      <c r="F21">
        <v>4</v>
      </c>
      <c r="G21" s="9">
        <f>E21+F21</f>
        <v>15</v>
      </c>
      <c r="H21" s="14">
        <f>G21/$G$86*100</f>
        <v>5.319148936170213</v>
      </c>
      <c r="I21" s="9">
        <f>C21</f>
        <v>2</v>
      </c>
      <c r="J21" s="9">
        <f>G21</f>
        <v>15</v>
      </c>
      <c r="K21" s="14">
        <f t="shared" si="0"/>
        <v>1.2244897959183674</v>
      </c>
    </row>
    <row r="22" spans="1:11" ht="12.75">
      <c r="A22" t="s">
        <v>490</v>
      </c>
      <c r="B22" t="s">
        <v>491</v>
      </c>
      <c r="H22" s="14"/>
      <c r="I22" s="9">
        <f>'2006'!C18+'2009'!C22</f>
        <v>2</v>
      </c>
      <c r="J22" s="9">
        <f>'2006'!G18</f>
        <v>16</v>
      </c>
      <c r="K22" s="14">
        <f t="shared" si="0"/>
        <v>1.306122448979592</v>
      </c>
    </row>
    <row r="23" spans="1:11" ht="12.75">
      <c r="A23" t="s">
        <v>543</v>
      </c>
      <c r="B23" t="s">
        <v>544</v>
      </c>
      <c r="C23">
        <v>3</v>
      </c>
      <c r="D23">
        <v>0</v>
      </c>
      <c r="E23">
        <v>15</v>
      </c>
      <c r="F23">
        <v>11</v>
      </c>
      <c r="G23" s="9">
        <f>E23+F23</f>
        <v>26</v>
      </c>
      <c r="H23" s="14">
        <f>G23/$G$86*100</f>
        <v>9.219858156028367</v>
      </c>
      <c r="I23" s="9">
        <f>'2008'!C20+'2009'!C23</f>
        <v>4</v>
      </c>
      <c r="J23" s="9">
        <f>'2008'!G20+'2009'!G23</f>
        <v>32</v>
      </c>
      <c r="K23" s="14">
        <f t="shared" si="0"/>
        <v>2.612244897959184</v>
      </c>
    </row>
    <row r="24" spans="1:11" ht="12.75">
      <c r="A24" t="s">
        <v>575</v>
      </c>
      <c r="B24" t="s">
        <v>576</v>
      </c>
      <c r="C24">
        <v>1</v>
      </c>
      <c r="D24">
        <v>0</v>
      </c>
      <c r="E24">
        <v>2</v>
      </c>
      <c r="F24">
        <v>7</v>
      </c>
      <c r="G24" s="9">
        <f>E24+F24</f>
        <v>9</v>
      </c>
      <c r="H24" s="14">
        <f>G24/$G$86*100</f>
        <v>3.1914893617021276</v>
      </c>
      <c r="I24" s="9">
        <f>C24</f>
        <v>1</v>
      </c>
      <c r="J24" s="9">
        <f>G24</f>
        <v>9</v>
      </c>
      <c r="K24" s="14">
        <f t="shared" si="0"/>
        <v>0.7346938775510203</v>
      </c>
    </row>
    <row r="25" spans="1:11" ht="12.75">
      <c r="A25" t="s">
        <v>545</v>
      </c>
      <c r="B25" t="s">
        <v>546</v>
      </c>
      <c r="C25">
        <v>1</v>
      </c>
      <c r="D25">
        <v>1</v>
      </c>
      <c r="H25" s="14"/>
      <c r="I25" s="9">
        <f>'2008'!C21+'2009'!C25</f>
        <v>3</v>
      </c>
      <c r="J25" s="9">
        <f>'2008'!G21+'2009'!G25</f>
        <v>18</v>
      </c>
      <c r="K25" s="14">
        <f t="shared" si="0"/>
        <v>1.4693877551020407</v>
      </c>
    </row>
    <row r="26" spans="1:11" ht="12.75">
      <c r="A26" t="s">
        <v>408</v>
      </c>
      <c r="B26" t="s">
        <v>377</v>
      </c>
      <c r="H26" s="14"/>
      <c r="I26" s="9">
        <f>'2005'!C11+'2007'!C19+'2008'!C22</f>
        <v>4</v>
      </c>
      <c r="J26" s="9">
        <f>'2005'!G11+'2007'!G19+'2008'!G22</f>
        <v>35</v>
      </c>
      <c r="K26" s="14">
        <f t="shared" si="0"/>
        <v>2.857142857142857</v>
      </c>
    </row>
    <row r="27" spans="1:11" ht="12.75">
      <c r="A27" t="s">
        <v>492</v>
      </c>
      <c r="B27" t="s">
        <v>493</v>
      </c>
      <c r="C27">
        <v>4</v>
      </c>
      <c r="D27">
        <v>1</v>
      </c>
      <c r="E27">
        <v>17</v>
      </c>
      <c r="F27">
        <v>9</v>
      </c>
      <c r="G27" s="9">
        <f>E27+F27</f>
        <v>26</v>
      </c>
      <c r="H27" s="14">
        <f>G27/$G$86*100</f>
        <v>9.219858156028367</v>
      </c>
      <c r="I27" s="9">
        <f>'2006'!C20+'2007'!C20+'2008'!C23+'2009'!C27</f>
        <v>10</v>
      </c>
      <c r="J27" s="9">
        <f>'2006'!G20+'2007'!G20+'2008'!G23+'2009'!G27</f>
        <v>65</v>
      </c>
      <c r="K27" s="70">
        <f t="shared" si="0"/>
        <v>5.3061224489795915</v>
      </c>
    </row>
    <row r="28" spans="1:11" ht="12.75">
      <c r="A28" t="s">
        <v>439</v>
      </c>
      <c r="B28" t="s">
        <v>440</v>
      </c>
      <c r="H28" s="14"/>
      <c r="I28" s="9">
        <f>'2005'!C12+'2006'!C21+'2007'!C21</f>
        <v>8</v>
      </c>
      <c r="J28" s="9">
        <f>'2005'!G12+'2006'!G21+'2007'!G21</f>
        <v>53</v>
      </c>
      <c r="K28" s="69">
        <f t="shared" si="0"/>
        <v>4.326530612244897</v>
      </c>
    </row>
    <row r="29" spans="1:11" ht="12.75">
      <c r="A29" t="s">
        <v>494</v>
      </c>
      <c r="B29" t="s">
        <v>495</v>
      </c>
      <c r="H29" s="14"/>
      <c r="I29" s="9">
        <f>'2006'!C22+'2009'!C29</f>
        <v>1</v>
      </c>
      <c r="J29" s="9">
        <f>'2006'!G22</f>
        <v>2</v>
      </c>
      <c r="K29" s="14">
        <f t="shared" si="0"/>
        <v>0.163265306122449</v>
      </c>
    </row>
    <row r="30" spans="1:11" ht="12.75">
      <c r="A30" t="s">
        <v>496</v>
      </c>
      <c r="B30" t="s">
        <v>497</v>
      </c>
      <c r="H30" s="14"/>
      <c r="I30" s="9">
        <f>'2006'!C23+'2008'!C26+'2009'!C30</f>
        <v>2</v>
      </c>
      <c r="J30" s="9">
        <f>'2006'!G23+'2008'!G26+'2009'!G30</f>
        <v>7</v>
      </c>
      <c r="K30" s="14">
        <f t="shared" si="0"/>
        <v>0.5714285714285714</v>
      </c>
    </row>
    <row r="31" spans="1:11" ht="12.75">
      <c r="A31" t="s">
        <v>498</v>
      </c>
      <c r="B31" t="s">
        <v>499</v>
      </c>
      <c r="H31" s="14"/>
      <c r="I31" s="9">
        <f>'2006'!C24+'2007'!C24+'2008'!C27+'2009'!C31</f>
        <v>5</v>
      </c>
      <c r="J31" s="9">
        <f>'2006'!G24+'2007'!G24+'2008'!G27+'2009'!G31</f>
        <v>31</v>
      </c>
      <c r="K31" s="14">
        <f t="shared" si="0"/>
        <v>2.5306122448979593</v>
      </c>
    </row>
    <row r="32" spans="1:11" ht="12.75">
      <c r="A32" t="s">
        <v>577</v>
      </c>
      <c r="B32" t="s">
        <v>578</v>
      </c>
      <c r="C32">
        <v>1</v>
      </c>
      <c r="D32">
        <v>0</v>
      </c>
      <c r="E32">
        <v>2</v>
      </c>
      <c r="F32">
        <v>5</v>
      </c>
      <c r="G32" s="9">
        <f>E32+F32</f>
        <v>7</v>
      </c>
      <c r="H32" s="14">
        <f>G32/$G$86*100</f>
        <v>2.4822695035460995</v>
      </c>
      <c r="I32" s="9">
        <f>C32</f>
        <v>1</v>
      </c>
      <c r="J32" s="9">
        <f>G32</f>
        <v>7</v>
      </c>
      <c r="K32" s="14">
        <f t="shared" si="0"/>
        <v>0.5714285714285714</v>
      </c>
    </row>
    <row r="33" spans="1:11" ht="12.75">
      <c r="A33" t="s">
        <v>411</v>
      </c>
      <c r="B33" t="s">
        <v>348</v>
      </c>
      <c r="H33" s="14"/>
      <c r="I33" s="9">
        <f>'2006'!C28</f>
        <v>1</v>
      </c>
      <c r="J33" s="9">
        <f>'2006'!G28</f>
        <v>7</v>
      </c>
      <c r="K33" s="14">
        <f t="shared" si="0"/>
        <v>0.5714285714285714</v>
      </c>
    </row>
    <row r="34" spans="1:11" ht="12.75">
      <c r="A34" t="s">
        <v>579</v>
      </c>
      <c r="B34" t="s">
        <v>580</v>
      </c>
      <c r="C34">
        <v>1</v>
      </c>
      <c r="D34">
        <v>0</v>
      </c>
      <c r="E34">
        <v>6</v>
      </c>
      <c r="F34">
        <v>5</v>
      </c>
      <c r="G34" s="9">
        <f>E34+F34</f>
        <v>11</v>
      </c>
      <c r="H34" s="14">
        <f>G34/$G$86*100</f>
        <v>3.900709219858156</v>
      </c>
      <c r="I34" s="9">
        <f>C34</f>
        <v>1</v>
      </c>
      <c r="J34" s="9">
        <f>G34</f>
        <v>11</v>
      </c>
      <c r="K34" s="14">
        <f t="shared" si="0"/>
        <v>0.8979591836734694</v>
      </c>
    </row>
    <row r="35" spans="1:11" ht="12.75">
      <c r="A35" t="s">
        <v>471</v>
      </c>
      <c r="B35" t="s">
        <v>472</v>
      </c>
      <c r="H35" s="14"/>
      <c r="I35" s="9">
        <f>'2005'!C16+'2009'!C35</f>
        <v>1</v>
      </c>
      <c r="J35" s="9">
        <f>'2005'!G16</f>
        <v>8</v>
      </c>
      <c r="K35" s="14">
        <f aca="true" t="shared" si="1" ref="K35:K66">J35/$J$88*100</f>
        <v>0.653061224489796</v>
      </c>
    </row>
    <row r="36" spans="1:11" ht="12.75">
      <c r="A36" t="s">
        <v>524</v>
      </c>
      <c r="B36" t="s">
        <v>525</v>
      </c>
      <c r="H36" s="14"/>
      <c r="I36" s="9">
        <f>'2007'!C31+'2009'!C36</f>
        <v>1</v>
      </c>
      <c r="J36" s="9">
        <f>'2007'!G31</f>
        <v>6</v>
      </c>
      <c r="K36" s="14">
        <f t="shared" si="1"/>
        <v>0.4897959183673469</v>
      </c>
    </row>
    <row r="37" spans="1:11" ht="12.75">
      <c r="A37" t="s">
        <v>444</v>
      </c>
      <c r="B37" t="s">
        <v>351</v>
      </c>
      <c r="H37" s="14"/>
      <c r="I37" s="9">
        <f>'2005'!C17+'2009'!C37</f>
        <v>1</v>
      </c>
      <c r="J37" s="9">
        <f>'2005'!G17</f>
        <v>7</v>
      </c>
      <c r="K37" s="14">
        <f t="shared" si="1"/>
        <v>0.5714285714285714</v>
      </c>
    </row>
    <row r="38" spans="1:11" ht="12.75">
      <c r="A38" t="s">
        <v>225</v>
      </c>
      <c r="B38" t="s">
        <v>581</v>
      </c>
      <c r="C38">
        <v>1</v>
      </c>
      <c r="D38">
        <v>0</v>
      </c>
      <c r="E38">
        <v>4</v>
      </c>
      <c r="F38">
        <v>5</v>
      </c>
      <c r="G38" s="9">
        <f>E38+F38</f>
        <v>9</v>
      </c>
      <c r="H38" s="14">
        <f>G38/$G$86*100</f>
        <v>3.1914893617021276</v>
      </c>
      <c r="I38" s="9">
        <f>'2009'!C38</f>
        <v>1</v>
      </c>
      <c r="J38" s="9">
        <f>G38</f>
        <v>9</v>
      </c>
      <c r="K38" s="14">
        <f t="shared" si="1"/>
        <v>0.7346938775510203</v>
      </c>
    </row>
    <row r="39" spans="1:11" ht="12.75">
      <c r="A39" t="s">
        <v>547</v>
      </c>
      <c r="B39" t="s">
        <v>548</v>
      </c>
      <c r="C39">
        <v>1</v>
      </c>
      <c r="D39">
        <v>0</v>
      </c>
      <c r="E39">
        <v>5</v>
      </c>
      <c r="F39">
        <v>3</v>
      </c>
      <c r="G39" s="9">
        <f>E39+F39</f>
        <v>8</v>
      </c>
      <c r="H39" s="14">
        <f>G39/$G$86*100</f>
        <v>2.8368794326241136</v>
      </c>
      <c r="I39" s="9">
        <f>'2008'!C34+'2009'!C39</f>
        <v>2</v>
      </c>
      <c r="J39" s="9">
        <f>'2008'!G34+'2009'!G39</f>
        <v>15</v>
      </c>
      <c r="K39" s="14">
        <f t="shared" si="1"/>
        <v>1.2244897959183674</v>
      </c>
    </row>
    <row r="40" spans="1:11" ht="12.75">
      <c r="A40" t="s">
        <v>549</v>
      </c>
      <c r="B40" t="s">
        <v>550</v>
      </c>
      <c r="C40">
        <v>1</v>
      </c>
      <c r="D40">
        <v>0</v>
      </c>
      <c r="E40">
        <v>2</v>
      </c>
      <c r="F40">
        <v>5</v>
      </c>
      <c r="G40" s="9">
        <f>E40+F40</f>
        <v>7</v>
      </c>
      <c r="H40" s="14">
        <f>G40/$G$86*100</f>
        <v>2.4822695035460995</v>
      </c>
      <c r="I40" s="9">
        <f>'2008'!C35+'2009'!C40</f>
        <v>2</v>
      </c>
      <c r="J40" s="9">
        <f>'2008'!G35+'2009'!G40</f>
        <v>12</v>
      </c>
      <c r="K40" s="14">
        <f t="shared" si="1"/>
        <v>0.9795918367346939</v>
      </c>
    </row>
    <row r="41" spans="1:11" ht="12.75">
      <c r="A41" t="s">
        <v>419</v>
      </c>
      <c r="B41" t="s">
        <v>420</v>
      </c>
      <c r="H41" s="14"/>
      <c r="I41" s="9">
        <f>'2005'!C19</f>
        <v>2</v>
      </c>
      <c r="J41" s="9">
        <f>'2005'!G19</f>
        <v>13</v>
      </c>
      <c r="K41" s="14">
        <f t="shared" si="1"/>
        <v>1.0612244897959184</v>
      </c>
    </row>
    <row r="42" spans="1:11" ht="12.75">
      <c r="A42" t="s">
        <v>551</v>
      </c>
      <c r="B42" t="s">
        <v>552</v>
      </c>
      <c r="H42" s="14"/>
      <c r="I42" s="9">
        <f>'2008'!C38</f>
        <v>1</v>
      </c>
      <c r="J42" s="9">
        <f>'2008'!G38</f>
        <v>6</v>
      </c>
      <c r="K42" s="14">
        <f t="shared" si="1"/>
        <v>0.4897959183673469</v>
      </c>
    </row>
    <row r="43" spans="1:11" ht="12.75">
      <c r="A43" t="s">
        <v>582</v>
      </c>
      <c r="B43" t="s">
        <v>583</v>
      </c>
      <c r="C43">
        <v>1</v>
      </c>
      <c r="D43">
        <v>0</v>
      </c>
      <c r="E43">
        <v>1</v>
      </c>
      <c r="F43">
        <v>1</v>
      </c>
      <c r="G43" s="9">
        <f>E43+F43</f>
        <v>2</v>
      </c>
      <c r="H43" s="14">
        <f>G43/$G$86*100</f>
        <v>0.7092198581560284</v>
      </c>
      <c r="I43" s="9">
        <f>C43</f>
        <v>1</v>
      </c>
      <c r="J43" s="9">
        <f>G43</f>
        <v>2</v>
      </c>
      <c r="K43" s="14">
        <f t="shared" si="1"/>
        <v>0.163265306122449</v>
      </c>
    </row>
    <row r="44" spans="1:11" ht="12.75">
      <c r="A44" t="s">
        <v>553</v>
      </c>
      <c r="B44" t="s">
        <v>554</v>
      </c>
      <c r="H44" s="14"/>
      <c r="I44" s="9">
        <f>'2008'!C39</f>
        <v>2</v>
      </c>
      <c r="J44" s="9">
        <f>'2008'!G39</f>
        <v>1</v>
      </c>
      <c r="K44" s="14">
        <f t="shared" si="1"/>
        <v>0.0816326530612245</v>
      </c>
    </row>
    <row r="45" spans="1:11" ht="12.75">
      <c r="A45" t="s">
        <v>555</v>
      </c>
      <c r="B45" t="s">
        <v>556</v>
      </c>
      <c r="H45" s="14"/>
      <c r="I45" s="9">
        <f>'2008'!C40+'2009'!C45</f>
        <v>1</v>
      </c>
      <c r="J45" s="9">
        <f>'2008'!G40</f>
        <v>7</v>
      </c>
      <c r="K45" s="14">
        <f t="shared" si="1"/>
        <v>0.5714285714285714</v>
      </c>
    </row>
    <row r="46" spans="1:11" ht="12.75">
      <c r="A46" t="s">
        <v>198</v>
      </c>
      <c r="B46" t="s">
        <v>199</v>
      </c>
      <c r="H46" s="14"/>
      <c r="I46" s="9">
        <f>'2005'!C20+'2009'!C46</f>
        <v>2</v>
      </c>
      <c r="J46" s="9">
        <f>'2005'!G20</f>
        <v>11</v>
      </c>
      <c r="K46" s="14">
        <f t="shared" si="1"/>
        <v>0.8979591836734694</v>
      </c>
    </row>
    <row r="47" spans="1:11" ht="12.75">
      <c r="A47" t="s">
        <v>388</v>
      </c>
      <c r="B47" t="s">
        <v>354</v>
      </c>
      <c r="H47" s="14"/>
      <c r="I47" s="9">
        <f>'2005'!C21+'2009'!C47</f>
        <v>3</v>
      </c>
      <c r="J47" s="9">
        <f>'2005'!G21</f>
        <v>7</v>
      </c>
      <c r="K47" s="14">
        <f t="shared" si="1"/>
        <v>0.5714285714285714</v>
      </c>
    </row>
    <row r="48" spans="1:11" ht="12.75">
      <c r="A48" t="s">
        <v>500</v>
      </c>
      <c r="B48" t="s">
        <v>358</v>
      </c>
      <c r="H48" s="14"/>
      <c r="I48" s="9">
        <f>'2005'!C22+'2008'!C43+'2009'!C48</f>
        <v>2</v>
      </c>
      <c r="J48" s="9">
        <f>'2005'!G22+'2008'!G43</f>
        <v>13</v>
      </c>
      <c r="K48" s="14">
        <f t="shared" si="1"/>
        <v>1.0612244897959184</v>
      </c>
    </row>
    <row r="49" spans="1:11" ht="12.75">
      <c r="A49" t="s">
        <v>501</v>
      </c>
      <c r="B49" t="s">
        <v>423</v>
      </c>
      <c r="H49" s="14"/>
      <c r="I49" s="9">
        <f>'2005'!C23+'2006'!C43+'2007'!C39+'2009'!C49</f>
        <v>6</v>
      </c>
      <c r="J49" s="9">
        <f>'2005'!G23+'2006'!G43+'2007'!G39+'2009'!G49</f>
        <v>47</v>
      </c>
      <c r="K49" s="14">
        <f t="shared" si="1"/>
        <v>3.8367346938775513</v>
      </c>
    </row>
    <row r="50" spans="1:11" ht="12.75">
      <c r="A50" t="s">
        <v>557</v>
      </c>
      <c r="B50" t="s">
        <v>558</v>
      </c>
      <c r="H50" s="14"/>
      <c r="I50" s="9">
        <f>'2008'!C45+'2009'!C50</f>
        <v>3</v>
      </c>
      <c r="J50" s="9">
        <f>'2008'!G45+'2009'!G50</f>
        <v>21</v>
      </c>
      <c r="K50" s="14">
        <f t="shared" si="1"/>
        <v>1.7142857142857144</v>
      </c>
    </row>
    <row r="51" spans="1:11" ht="12.75">
      <c r="A51" t="s">
        <v>473</v>
      </c>
      <c r="B51" t="s">
        <v>474</v>
      </c>
      <c r="C51">
        <v>1</v>
      </c>
      <c r="D51">
        <v>0</v>
      </c>
      <c r="E51">
        <v>5</v>
      </c>
      <c r="F51">
        <v>2</v>
      </c>
      <c r="G51" s="9">
        <f>E51+F51</f>
        <v>7</v>
      </c>
      <c r="H51" s="14">
        <f>G51/$G$86*100</f>
        <v>2.4822695035460995</v>
      </c>
      <c r="I51" s="9">
        <f>'2006'!C47+'2006'!C47+'2009'!C51</f>
        <v>5</v>
      </c>
      <c r="J51" s="9">
        <f>'2005'!G24+'2006'!G47+'2009'!G51</f>
        <v>35</v>
      </c>
      <c r="K51" s="14">
        <f t="shared" si="1"/>
        <v>2.857142857142857</v>
      </c>
    </row>
    <row r="52" spans="1:11" ht="12.75">
      <c r="A52" t="s">
        <v>448</v>
      </c>
      <c r="B52" t="s">
        <v>449</v>
      </c>
      <c r="H52" s="14"/>
      <c r="I52" s="9">
        <f>'2006'!C48+'2009'!C52</f>
        <v>1</v>
      </c>
      <c r="J52" s="9">
        <f>'2006'!G48</f>
        <v>7</v>
      </c>
      <c r="K52" s="14">
        <f t="shared" si="1"/>
        <v>0.5714285714285714</v>
      </c>
    </row>
    <row r="53" spans="1:11" ht="12.75">
      <c r="A53" t="s">
        <v>427</v>
      </c>
      <c r="B53" t="s">
        <v>360</v>
      </c>
      <c r="H53" s="14"/>
      <c r="I53" s="9">
        <f>'2005'!C26+'2006'!C49+'2007'!C43+'2009'!C53</f>
        <v>5</v>
      </c>
      <c r="J53" s="9">
        <f>'2005'!G26+'2006'!G49+'2007'!G43+'2009'!G53</f>
        <v>33</v>
      </c>
      <c r="K53" s="14">
        <f t="shared" si="1"/>
        <v>2.693877551020408</v>
      </c>
    </row>
    <row r="54" spans="1:11" ht="12.75">
      <c r="A54" t="s">
        <v>450</v>
      </c>
      <c r="B54" t="s">
        <v>363</v>
      </c>
      <c r="H54" s="14"/>
      <c r="I54" s="9">
        <f>'2005'!C27</f>
        <v>3</v>
      </c>
      <c r="J54" s="9">
        <f>G54</f>
        <v>0</v>
      </c>
      <c r="K54" s="14">
        <f t="shared" si="1"/>
        <v>0</v>
      </c>
    </row>
    <row r="55" spans="1:11" ht="12.75">
      <c r="A55" t="s">
        <v>584</v>
      </c>
      <c r="B55" t="s">
        <v>585</v>
      </c>
      <c r="C55">
        <v>1</v>
      </c>
      <c r="D55">
        <v>1</v>
      </c>
      <c r="H55" s="14"/>
      <c r="I55" s="9">
        <f>'2009'!C55</f>
        <v>1</v>
      </c>
      <c r="J55" s="9">
        <f>G55</f>
        <v>0</v>
      </c>
      <c r="K55" s="14">
        <f t="shared" si="1"/>
        <v>0</v>
      </c>
    </row>
    <row r="56" spans="1:11" ht="12.75">
      <c r="A56" t="s">
        <v>559</v>
      </c>
      <c r="B56" t="s">
        <v>560</v>
      </c>
      <c r="C56">
        <v>1</v>
      </c>
      <c r="D56">
        <v>0</v>
      </c>
      <c r="E56">
        <v>2</v>
      </c>
      <c r="F56">
        <v>5</v>
      </c>
      <c r="G56" s="9">
        <f>E56+F56</f>
        <v>7</v>
      </c>
      <c r="H56" s="14">
        <f>G56/$G$86*100</f>
        <v>2.4822695035460995</v>
      </c>
      <c r="I56" s="9">
        <f>'2008'!C51+'2009'!C56</f>
        <v>3</v>
      </c>
      <c r="J56" s="9">
        <f>'2008'!G51+'2009'!G56</f>
        <v>24</v>
      </c>
      <c r="K56" s="14">
        <f t="shared" si="1"/>
        <v>1.9591836734693877</v>
      </c>
    </row>
    <row r="57" spans="1:11" ht="12.75">
      <c r="A57" t="s">
        <v>586</v>
      </c>
      <c r="B57" t="s">
        <v>587</v>
      </c>
      <c r="C57">
        <v>1</v>
      </c>
      <c r="D57">
        <v>0</v>
      </c>
      <c r="E57">
        <v>3</v>
      </c>
      <c r="F57">
        <v>2</v>
      </c>
      <c r="G57" s="9">
        <f>E57+F57</f>
        <v>5</v>
      </c>
      <c r="H57" s="14">
        <f>G57/$G$86*100</f>
        <v>1.773049645390071</v>
      </c>
      <c r="I57" s="9">
        <f>'2009'!C57</f>
        <v>1</v>
      </c>
      <c r="J57" s="9">
        <f>G57</f>
        <v>5</v>
      </c>
      <c r="K57" s="14">
        <f t="shared" si="1"/>
        <v>0.40816326530612246</v>
      </c>
    </row>
    <row r="58" spans="1:11" ht="12.75">
      <c r="A58" t="s">
        <v>588</v>
      </c>
      <c r="B58" t="s">
        <v>589</v>
      </c>
      <c r="C58">
        <v>2</v>
      </c>
      <c r="D58">
        <v>0</v>
      </c>
      <c r="E58">
        <v>13</v>
      </c>
      <c r="F58">
        <v>1</v>
      </c>
      <c r="G58" s="9">
        <f>E58+F58</f>
        <v>14</v>
      </c>
      <c r="H58" s="14">
        <f>G58/$G$86*100</f>
        <v>4.964539007092199</v>
      </c>
      <c r="I58" s="9">
        <f>'2009'!C58</f>
        <v>2</v>
      </c>
      <c r="J58" s="9">
        <f>G58</f>
        <v>14</v>
      </c>
      <c r="K58" s="14">
        <f t="shared" si="1"/>
        <v>1.1428571428571428</v>
      </c>
    </row>
    <row r="59" spans="1:11" ht="12.75">
      <c r="A59" t="s">
        <v>452</v>
      </c>
      <c r="B59" t="s">
        <v>365</v>
      </c>
      <c r="H59" s="14"/>
      <c r="I59" s="9">
        <f>'2005'!C29+'2007'!C47+'2008'!C52+'2009'!C59</f>
        <v>9</v>
      </c>
      <c r="J59" s="9">
        <f>'2005'!G29+'2007'!G47+'2008'!G52+'2009'!G59</f>
        <v>66</v>
      </c>
      <c r="K59" s="69">
        <f t="shared" si="1"/>
        <v>5.387755102040816</v>
      </c>
    </row>
    <row r="60" spans="1:11" ht="12.75">
      <c r="A60" t="s">
        <v>502</v>
      </c>
      <c r="E60" s="9">
        <f>SUM(E3:E59)</f>
        <v>120</v>
      </c>
      <c r="F60" s="9">
        <f>SUM(F3:F59)</f>
        <v>106</v>
      </c>
      <c r="G60" s="9">
        <f>SUM(G3:G59)</f>
        <v>226</v>
      </c>
      <c r="H60" s="14">
        <f>G60/$G$86*100</f>
        <v>80.1418439716312</v>
      </c>
      <c r="J60" s="9">
        <f>SUM(J3:J59)</f>
        <v>1025</v>
      </c>
      <c r="K60" s="14">
        <f t="shared" si="1"/>
        <v>83.6734693877551</v>
      </c>
    </row>
    <row r="61" spans="8:11" ht="12.75">
      <c r="H61" s="14"/>
      <c r="K61" s="14"/>
    </row>
    <row r="62" spans="8:11" ht="12.75">
      <c r="H62" s="14"/>
      <c r="K62" s="14"/>
    </row>
    <row r="63" spans="1:11" ht="12.75">
      <c r="A63" t="s">
        <v>526</v>
      </c>
      <c r="B63" t="s">
        <v>527</v>
      </c>
      <c r="H63" s="14"/>
      <c r="I63" s="9">
        <f>'2007'!C54+'2009'!C63</f>
        <v>1</v>
      </c>
      <c r="J63" s="9">
        <f>'2007'!G54</f>
        <v>2</v>
      </c>
      <c r="K63" s="14">
        <f aca="true" t="shared" si="2" ref="K63:K82">J63/$J$88*100</f>
        <v>0.163265306122449</v>
      </c>
    </row>
    <row r="64" spans="1:11" ht="12.75">
      <c r="A64" t="s">
        <v>475</v>
      </c>
      <c r="B64" t="s">
        <v>476</v>
      </c>
      <c r="H64" s="14"/>
      <c r="I64" s="9">
        <f>'2005'!C36+'2009'!C64</f>
        <v>1</v>
      </c>
      <c r="J64" s="9">
        <f>'2005'!G36</f>
        <v>8</v>
      </c>
      <c r="K64" s="14">
        <f t="shared" si="2"/>
        <v>0.653061224489796</v>
      </c>
    </row>
    <row r="65" spans="1:11" ht="12.75">
      <c r="A65" t="s">
        <v>590</v>
      </c>
      <c r="B65" t="s">
        <v>591</v>
      </c>
      <c r="C65">
        <v>1</v>
      </c>
      <c r="E65">
        <v>3</v>
      </c>
      <c r="F65">
        <v>1</v>
      </c>
      <c r="G65" s="9">
        <f>E65+F65</f>
        <v>4</v>
      </c>
      <c r="H65" s="14">
        <f>G65/$G$86*100</f>
        <v>1.4184397163120568</v>
      </c>
      <c r="I65" s="9">
        <f>'2009'!C65</f>
        <v>1</v>
      </c>
      <c r="J65" s="9">
        <f>G65</f>
        <v>4</v>
      </c>
      <c r="K65" s="14">
        <f t="shared" si="2"/>
        <v>0.326530612244898</v>
      </c>
    </row>
    <row r="66" spans="1:11" ht="12.75">
      <c r="A66" t="s">
        <v>103</v>
      </c>
      <c r="B66" t="s">
        <v>592</v>
      </c>
      <c r="C66">
        <v>1</v>
      </c>
      <c r="E66">
        <v>4</v>
      </c>
      <c r="F66">
        <v>3</v>
      </c>
      <c r="G66" s="9">
        <f>E66+F66</f>
        <v>7</v>
      </c>
      <c r="H66" s="14">
        <f>G66/$G$86*100</f>
        <v>2.4822695035460995</v>
      </c>
      <c r="I66" s="9">
        <f>'2009'!C66</f>
        <v>1</v>
      </c>
      <c r="J66" s="9">
        <f>G66</f>
        <v>7</v>
      </c>
      <c r="K66" s="14">
        <f t="shared" si="2"/>
        <v>0.5714285714285714</v>
      </c>
    </row>
    <row r="67" spans="1:11" ht="12.75">
      <c r="A67" t="s">
        <v>593</v>
      </c>
      <c r="B67" t="s">
        <v>594</v>
      </c>
      <c r="C67">
        <v>2</v>
      </c>
      <c r="E67">
        <v>5</v>
      </c>
      <c r="F67">
        <v>7</v>
      </c>
      <c r="G67" s="9">
        <f>E67+F67</f>
        <v>12</v>
      </c>
      <c r="H67" s="14">
        <f>G67/$G$86*100</f>
        <v>4.25531914893617</v>
      </c>
      <c r="I67" s="9">
        <f>C67</f>
        <v>2</v>
      </c>
      <c r="J67" s="9">
        <f>G67</f>
        <v>12</v>
      </c>
      <c r="K67" s="14">
        <f t="shared" si="2"/>
        <v>0.9795918367346939</v>
      </c>
    </row>
    <row r="68" spans="1:11" ht="12.75">
      <c r="A68" t="s">
        <v>403</v>
      </c>
      <c r="B68" t="s">
        <v>477</v>
      </c>
      <c r="H68" s="14"/>
      <c r="I68" s="9">
        <f>'2005'!C37+'2009'!C68</f>
        <v>1</v>
      </c>
      <c r="J68" s="9">
        <f>'2005'!G37</f>
        <v>6</v>
      </c>
      <c r="K68" s="14">
        <f t="shared" si="2"/>
        <v>0.4897959183673469</v>
      </c>
    </row>
    <row r="69" spans="1:11" ht="12.75">
      <c r="A69" t="s">
        <v>528</v>
      </c>
      <c r="B69" t="s">
        <v>529</v>
      </c>
      <c r="C69">
        <v>1</v>
      </c>
      <c r="E69">
        <v>3</v>
      </c>
      <c r="F69">
        <v>6</v>
      </c>
      <c r="G69" s="9">
        <f>E69+F69</f>
        <v>9</v>
      </c>
      <c r="H69" s="14">
        <f>G69/$G$86*100</f>
        <v>3.1914893617021276</v>
      </c>
      <c r="I69" s="9">
        <f>'2007'!C58+'2009'!C69</f>
        <v>2</v>
      </c>
      <c r="J69" s="9">
        <f>'2007'!G58+'2009'!G69</f>
        <v>10</v>
      </c>
      <c r="K69" s="14">
        <f t="shared" si="2"/>
        <v>0.8163265306122449</v>
      </c>
    </row>
    <row r="70" spans="1:11" ht="12.75">
      <c r="A70" t="s">
        <v>503</v>
      </c>
      <c r="B70" t="s">
        <v>504</v>
      </c>
      <c r="C70">
        <v>2</v>
      </c>
      <c r="E70">
        <v>2</v>
      </c>
      <c r="F70">
        <v>9</v>
      </c>
      <c r="G70" s="9">
        <f>E70+F70</f>
        <v>11</v>
      </c>
      <c r="H70" s="14">
        <f>G70/$G$86*100</f>
        <v>3.900709219858156</v>
      </c>
      <c r="I70" s="9">
        <f>'2006'!C66+'2007'!C59+'2008'!C63+'2009'!C70</f>
        <v>7</v>
      </c>
      <c r="J70" s="9">
        <f>'2006'!G66+'2007'!G59+'2008'!G63+'2009'!G70</f>
        <v>49</v>
      </c>
      <c r="K70" s="14">
        <f t="shared" si="2"/>
        <v>4</v>
      </c>
    </row>
    <row r="71" spans="1:11" ht="12.75">
      <c r="A71" t="s">
        <v>545</v>
      </c>
      <c r="B71" t="s">
        <v>546</v>
      </c>
      <c r="C71">
        <v>1</v>
      </c>
      <c r="E71">
        <v>4</v>
      </c>
      <c r="F71">
        <v>2</v>
      </c>
      <c r="G71" s="9">
        <f>E71+F71</f>
        <v>6</v>
      </c>
      <c r="H71" s="14">
        <f>G71/$G$86*100</f>
        <v>2.127659574468085</v>
      </c>
      <c r="I71" s="9">
        <f>C71</f>
        <v>1</v>
      </c>
      <c r="J71" s="9">
        <f>G71</f>
        <v>6</v>
      </c>
      <c r="K71" s="14">
        <f t="shared" si="2"/>
        <v>0.4897959183673469</v>
      </c>
    </row>
    <row r="72" spans="1:11" ht="12.75">
      <c r="A72" t="s">
        <v>441</v>
      </c>
      <c r="B72" t="s">
        <v>442</v>
      </c>
      <c r="H72" s="14"/>
      <c r="I72" s="9">
        <f>'2005'!C13</f>
        <v>1</v>
      </c>
      <c r="J72" s="9">
        <f>'2005'!G13</f>
        <v>5</v>
      </c>
      <c r="K72" s="14">
        <f t="shared" si="2"/>
        <v>0.40816326530612246</v>
      </c>
    </row>
    <row r="73" spans="1:11" ht="12.75">
      <c r="A73" t="s">
        <v>505</v>
      </c>
      <c r="B73" t="s">
        <v>506</v>
      </c>
      <c r="H73" s="14"/>
      <c r="I73" s="9">
        <f>'2006'!C70+'2007'!C61+'2009'!C73</f>
        <v>2</v>
      </c>
      <c r="J73" s="9">
        <f>'2006'!G70+'2007'!G61</f>
        <v>13</v>
      </c>
      <c r="K73" s="14">
        <f t="shared" si="2"/>
        <v>1.0612244897959184</v>
      </c>
    </row>
    <row r="74" spans="1:11" ht="12.75">
      <c r="A74" t="s">
        <v>478</v>
      </c>
      <c r="B74" s="50" t="s">
        <v>479</v>
      </c>
      <c r="H74" s="14"/>
      <c r="I74" s="9">
        <f>'2005'!C38+'2009'!C74</f>
        <v>1</v>
      </c>
      <c r="J74" s="9">
        <f>'2005'!G38</f>
        <v>7</v>
      </c>
      <c r="K74" s="14">
        <f t="shared" si="2"/>
        <v>0.5714285714285714</v>
      </c>
    </row>
    <row r="75" spans="1:11" ht="12.75">
      <c r="A75" t="s">
        <v>530</v>
      </c>
      <c r="B75" s="50" t="s">
        <v>508</v>
      </c>
      <c r="H75" s="14"/>
      <c r="I75" s="9">
        <f>'2006'!C72</f>
        <v>1</v>
      </c>
      <c r="J75" s="9">
        <f>'2006'!G72</f>
        <v>1</v>
      </c>
      <c r="K75" s="14">
        <f t="shared" si="2"/>
        <v>0.0816326530612245</v>
      </c>
    </row>
    <row r="76" spans="1:11" ht="12.75">
      <c r="A76" t="s">
        <v>413</v>
      </c>
      <c r="B76" t="s">
        <v>414</v>
      </c>
      <c r="H76" s="14"/>
      <c r="I76" s="9">
        <f>'2005'!C39+'2009'!C76</f>
        <v>1</v>
      </c>
      <c r="J76" s="9">
        <f>'2005'!G39+'2009'!G76</f>
        <v>5</v>
      </c>
      <c r="K76" s="14">
        <f t="shared" si="2"/>
        <v>0.40816326530612246</v>
      </c>
    </row>
    <row r="77" spans="1:11" ht="12.75">
      <c r="A77" t="s">
        <v>419</v>
      </c>
      <c r="B77" t="s">
        <v>420</v>
      </c>
      <c r="H77" s="14"/>
      <c r="I77" s="9">
        <f>'2006'!C38+'2007'!C66</f>
        <v>2</v>
      </c>
      <c r="J77" s="9">
        <f>'2006'!G38+'2007'!G66</f>
        <v>15</v>
      </c>
      <c r="K77" s="14">
        <f t="shared" si="2"/>
        <v>1.2244897959183674</v>
      </c>
    </row>
    <row r="78" spans="1:11" ht="12.75">
      <c r="A78" t="s">
        <v>391</v>
      </c>
      <c r="B78" t="s">
        <v>392</v>
      </c>
      <c r="H78" s="14"/>
      <c r="I78" s="9">
        <f>'2005'!C40+'2009'!C78</f>
        <v>1</v>
      </c>
      <c r="J78" s="9">
        <f>'2005'!G40</f>
        <v>7</v>
      </c>
      <c r="K78" s="14">
        <f t="shared" si="2"/>
        <v>0.5714285714285714</v>
      </c>
    </row>
    <row r="79" spans="1:11" ht="12.75">
      <c r="A79" t="s">
        <v>561</v>
      </c>
      <c r="B79" t="s">
        <v>562</v>
      </c>
      <c r="H79" s="14"/>
      <c r="I79" s="9">
        <f>'2008'!C70+'2009'!C79</f>
        <v>1</v>
      </c>
      <c r="J79" s="9">
        <f>'2008'!G70</f>
        <v>1</v>
      </c>
      <c r="K79" s="14">
        <f t="shared" si="2"/>
        <v>0.0816326530612245</v>
      </c>
    </row>
    <row r="80" spans="1:11" ht="12.75">
      <c r="A80" t="s">
        <v>595</v>
      </c>
      <c r="B80" t="s">
        <v>596</v>
      </c>
      <c r="C80">
        <v>1</v>
      </c>
      <c r="E80">
        <v>0</v>
      </c>
      <c r="F80">
        <v>1</v>
      </c>
      <c r="G80" s="9">
        <f>E80+F80</f>
        <v>1</v>
      </c>
      <c r="H80" s="14">
        <f>G80/$G$86*100</f>
        <v>0.3546099290780142</v>
      </c>
      <c r="I80" s="9">
        <f>C80</f>
        <v>1</v>
      </c>
      <c r="J80" s="9">
        <f>G80</f>
        <v>1</v>
      </c>
      <c r="K80" s="14">
        <f t="shared" si="2"/>
        <v>0.0816326530612245</v>
      </c>
    </row>
    <row r="81" spans="1:11" ht="12.75">
      <c r="A81" t="s">
        <v>482</v>
      </c>
      <c r="B81" t="s">
        <v>483</v>
      </c>
      <c r="H81" s="14"/>
      <c r="I81" s="9">
        <f>'2005'!C41+'2006'!C76+'2009'!C81</f>
        <v>2</v>
      </c>
      <c r="J81" s="9">
        <f>'2005'!G41+'2006'!G76</f>
        <v>16</v>
      </c>
      <c r="K81" s="14">
        <f t="shared" si="2"/>
        <v>1.306122448979592</v>
      </c>
    </row>
    <row r="82" spans="1:11" ht="12.75">
      <c r="A82" t="s">
        <v>511</v>
      </c>
      <c r="E82" s="9">
        <f>SUM(E63:E81)</f>
        <v>21</v>
      </c>
      <c r="F82" s="9">
        <f>SUM(F63:F81)</f>
        <v>29</v>
      </c>
      <c r="G82" s="9">
        <f>SUM(G63:G81)</f>
        <v>50</v>
      </c>
      <c r="H82" s="14">
        <f>G82/$G$86*100</f>
        <v>17.73049645390071</v>
      </c>
      <c r="J82" s="9">
        <f>SUM(J63:J81)</f>
        <v>175</v>
      </c>
      <c r="K82" s="14">
        <f t="shared" si="2"/>
        <v>14.285714285714285</v>
      </c>
    </row>
    <row r="83" spans="1:11" ht="12.75">
      <c r="A83" t="s">
        <v>531</v>
      </c>
      <c r="G83" s="9">
        <f>G60+G82</f>
        <v>276</v>
      </c>
      <c r="H83" s="14"/>
      <c r="J83" s="9">
        <f>J60+J82</f>
        <v>1200</v>
      </c>
      <c r="K83" s="14"/>
    </row>
    <row r="84" spans="8:11" ht="12.75">
      <c r="H84" s="14"/>
      <c r="K84" s="14"/>
    </row>
    <row r="85" spans="1:11" ht="12.75">
      <c r="A85" t="s">
        <v>462</v>
      </c>
      <c r="E85">
        <v>4</v>
      </c>
      <c r="F85">
        <v>2</v>
      </c>
      <c r="G85" s="9">
        <f>E85+F85</f>
        <v>6</v>
      </c>
      <c r="H85" s="14">
        <f>G85/$G$86*100</f>
        <v>2.127659574468085</v>
      </c>
      <c r="J85" s="9">
        <f>'2005'!G44+'2006'!G80+'2007'!G73+'2008'!G76+'2009'!G85</f>
        <v>25</v>
      </c>
      <c r="K85" s="14">
        <f>J85/$J$88*100</f>
        <v>2.0408163265306123</v>
      </c>
    </row>
    <row r="86" spans="1:11" ht="12.75">
      <c r="A86" t="s">
        <v>533</v>
      </c>
      <c r="G86" s="9">
        <f>G83+G85</f>
        <v>282</v>
      </c>
      <c r="H86" s="14">
        <f>H85+H82+H60</f>
        <v>100</v>
      </c>
      <c r="K86" s="14"/>
    </row>
    <row r="87" ht="12.75">
      <c r="K87" s="14"/>
    </row>
    <row r="88" spans="1:11" ht="12.75">
      <c r="A88" t="s">
        <v>534</v>
      </c>
      <c r="J88" s="9">
        <f>J60+J82+J85</f>
        <v>1225</v>
      </c>
      <c r="K88" s="14">
        <f>J88/$J$88*100</f>
        <v>100</v>
      </c>
    </row>
    <row r="90" spans="1:2" ht="12.75">
      <c r="A90" t="s">
        <v>6</v>
      </c>
      <c r="B90">
        <v>36</v>
      </c>
    </row>
    <row r="91" spans="1:2" ht="12.75">
      <c r="A91" t="s">
        <v>7</v>
      </c>
      <c r="B91">
        <v>46</v>
      </c>
    </row>
    <row r="92" spans="1:2" ht="12.75">
      <c r="A92" t="s">
        <v>563</v>
      </c>
      <c r="B92" s="9">
        <f>4*(B90*B91)/(B90+B91)</f>
        <v>80.78048780487805</v>
      </c>
    </row>
    <row r="94" spans="1:2" ht="12.75">
      <c r="A94" t="s">
        <v>564</v>
      </c>
      <c r="B94" s="9">
        <f>(B92/B91)*50</f>
        <v>87.8048780487805</v>
      </c>
    </row>
    <row r="97" spans="1:10" ht="12.75">
      <c r="A97" t="s">
        <v>597</v>
      </c>
      <c r="J97" s="9">
        <f>'2005'!G45+'2006'!G81+'2007'!G74+'2008'!G77+'2009'!G86</f>
        <v>1225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9"/>
  <sheetViews>
    <sheetView zoomScale="90" zoomScaleNormal="90" zoomScalePageLayoutView="0" workbookViewId="0" topLeftCell="A2">
      <selection activeCell="J109" sqref="J109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8.140625" style="0" customWidth="1"/>
    <col min="4" max="4" width="7.8515625" style="0" customWidth="1"/>
    <col min="5" max="5" width="8.140625" style="0" customWidth="1"/>
    <col min="6" max="6" width="8.00390625" style="0" customWidth="1"/>
    <col min="7" max="7" width="8.28125" style="0" customWidth="1"/>
    <col min="8" max="8" width="8.57421875" style="0" customWidth="1"/>
    <col min="9" max="9" width="7.8515625" style="0" customWidth="1"/>
    <col min="10" max="10" width="8.140625" style="0" customWidth="1"/>
    <col min="11" max="11" width="8.00390625" style="0" customWidth="1"/>
  </cols>
  <sheetData>
    <row r="1" spans="1:12" ht="12.75" customHeight="1">
      <c r="A1" s="2" t="s">
        <v>0</v>
      </c>
      <c r="B1" s="48">
        <v>2010</v>
      </c>
      <c r="C1" s="100" t="s">
        <v>4</v>
      </c>
      <c r="D1" s="101" t="s">
        <v>368</v>
      </c>
      <c r="E1" s="100" t="s">
        <v>6</v>
      </c>
      <c r="F1" s="100" t="s">
        <v>7</v>
      </c>
      <c r="G1" s="2"/>
      <c r="H1" s="17"/>
      <c r="I1" s="100" t="s">
        <v>294</v>
      </c>
      <c r="J1" s="100" t="s">
        <v>295</v>
      </c>
      <c r="K1" s="100" t="s">
        <v>322</v>
      </c>
      <c r="L1" s="102" t="s">
        <v>13</v>
      </c>
    </row>
    <row r="2" spans="1:12" ht="12.75">
      <c r="A2" s="49" t="s">
        <v>431</v>
      </c>
      <c r="B2" s="49" t="s">
        <v>3</v>
      </c>
      <c r="C2" s="100"/>
      <c r="D2" s="101"/>
      <c r="E2" s="100"/>
      <c r="F2" s="100"/>
      <c r="G2" s="2" t="s">
        <v>8</v>
      </c>
      <c r="H2" s="17" t="s">
        <v>9</v>
      </c>
      <c r="I2" s="100"/>
      <c r="J2" s="100"/>
      <c r="K2" s="100"/>
      <c r="L2" s="102"/>
    </row>
    <row r="3" spans="1:11" ht="12.75">
      <c r="A3" t="s">
        <v>526</v>
      </c>
      <c r="B3" t="s">
        <v>527</v>
      </c>
      <c r="H3" s="14"/>
      <c r="I3" s="9">
        <f>'2008'!C3+'2009'!C3+'2010'!C3</f>
        <v>5</v>
      </c>
      <c r="J3" s="9">
        <f>'2008'!G3+'2009'!G3+'2010'!G3</f>
        <v>27</v>
      </c>
      <c r="K3" s="14">
        <f aca="true" t="shared" si="0" ref="K3:K34">J3/$J$99*100</f>
        <v>2.240663900414938</v>
      </c>
    </row>
    <row r="4" spans="1:11" ht="12.75">
      <c r="A4" t="s">
        <v>598</v>
      </c>
      <c r="B4" t="s">
        <v>599</v>
      </c>
      <c r="C4">
        <v>1</v>
      </c>
      <c r="E4">
        <v>5</v>
      </c>
      <c r="F4">
        <v>2</v>
      </c>
      <c r="G4" s="9">
        <f>SUM(E4:F4)</f>
        <v>7</v>
      </c>
      <c r="H4" s="14">
        <f>G4/$G$97*100</f>
        <v>2.880658436213992</v>
      </c>
      <c r="I4" s="9">
        <f>C4</f>
        <v>1</v>
      </c>
      <c r="J4" s="9">
        <f>G4</f>
        <v>7</v>
      </c>
      <c r="K4" s="14">
        <f t="shared" si="0"/>
        <v>0.5809128630705395</v>
      </c>
    </row>
    <row r="5" spans="1:11" ht="12.75">
      <c r="A5" t="s">
        <v>516</v>
      </c>
      <c r="B5" t="s">
        <v>517</v>
      </c>
      <c r="H5" s="14"/>
      <c r="I5" s="9">
        <f>'2007'!C4+'2008'!C5+'2009'!C4+'2010'!C5</f>
        <v>4</v>
      </c>
      <c r="J5" s="9">
        <f>'2007'!G4+'2008'!G5+'2009'!G4+'2010'!G5</f>
        <v>14</v>
      </c>
      <c r="K5" s="14">
        <f t="shared" si="0"/>
        <v>1.161825726141079</v>
      </c>
    </row>
    <row r="6" spans="1:11" ht="12.75">
      <c r="A6" t="s">
        <v>435</v>
      </c>
      <c r="B6" t="s">
        <v>436</v>
      </c>
      <c r="H6" s="14"/>
      <c r="I6" s="9">
        <f>'2006'!C6+'2010'!C6</f>
        <v>1</v>
      </c>
      <c r="J6" s="9">
        <f>'2006'!G6+'2010'!G6</f>
        <v>10</v>
      </c>
      <c r="K6" s="14">
        <f t="shared" si="0"/>
        <v>0.8298755186721992</v>
      </c>
    </row>
    <row r="7" spans="1:11" ht="12.75">
      <c r="A7" t="s">
        <v>565</v>
      </c>
      <c r="B7" t="s">
        <v>566</v>
      </c>
      <c r="H7" s="14"/>
      <c r="I7" s="9">
        <f>'2009'!C6+'2010'!C7</f>
        <v>1</v>
      </c>
      <c r="J7" s="9">
        <f>'2009'!G6+'2010'!G7</f>
        <v>3</v>
      </c>
      <c r="K7" s="14">
        <f t="shared" si="0"/>
        <v>0.24896265560165973</v>
      </c>
    </row>
    <row r="8" spans="1:11" ht="12.75">
      <c r="A8" t="s">
        <v>518</v>
      </c>
      <c r="B8" t="s">
        <v>519</v>
      </c>
      <c r="C8">
        <v>1</v>
      </c>
      <c r="E8">
        <v>4</v>
      </c>
      <c r="F8">
        <v>0</v>
      </c>
      <c r="G8" s="9">
        <f>SUM(E8:F8)</f>
        <v>4</v>
      </c>
      <c r="H8" s="14">
        <f>G8/$G$97*100</f>
        <v>1.646090534979424</v>
      </c>
      <c r="I8" s="9">
        <f>'2007'!C7+'2009'!C7+'2010'!C8</f>
        <v>4</v>
      </c>
      <c r="J8" s="9">
        <f>'2007'!G7+'2009'!G7+'2010'!G8</f>
        <v>23</v>
      </c>
      <c r="K8" s="14">
        <f t="shared" si="0"/>
        <v>1.9087136929460582</v>
      </c>
    </row>
    <row r="9" spans="1:11" ht="12.75">
      <c r="A9" t="s">
        <v>466</v>
      </c>
      <c r="B9" t="s">
        <v>467</v>
      </c>
      <c r="H9" s="14"/>
      <c r="I9" s="9">
        <f>'2007'!C8+'2010'!C9</f>
        <v>1</v>
      </c>
      <c r="J9" s="9">
        <f>'2007'!G8+'2010'!G9</f>
        <v>9</v>
      </c>
      <c r="K9" s="14">
        <f t="shared" si="0"/>
        <v>0.7468879668049793</v>
      </c>
    </row>
    <row r="10" spans="1:11" ht="12.75">
      <c r="A10" t="s">
        <v>520</v>
      </c>
      <c r="B10" t="s">
        <v>521</v>
      </c>
      <c r="H10" s="14"/>
      <c r="I10" s="9">
        <f>'2007'!C10+'2008'!C9+'2009'!C9+'2010'!C10</f>
        <v>4</v>
      </c>
      <c r="J10" s="9">
        <f>'2007'!G10+'2010'!G10</f>
        <v>5</v>
      </c>
      <c r="K10" s="14">
        <f t="shared" si="0"/>
        <v>0.4149377593360996</v>
      </c>
    </row>
    <row r="11" spans="1:11" ht="12.75">
      <c r="A11" t="s">
        <v>432</v>
      </c>
      <c r="B11" t="s">
        <v>402</v>
      </c>
      <c r="H11" s="14"/>
      <c r="I11" s="9">
        <f>'2006'!C10+'2007'!C11+'2010'!C11</f>
        <v>3</v>
      </c>
      <c r="J11" s="9">
        <f>'2006'!G10+'2007'!G11</f>
        <v>23</v>
      </c>
      <c r="K11" s="14">
        <f t="shared" si="0"/>
        <v>1.9087136929460582</v>
      </c>
    </row>
    <row r="12" spans="1:11" ht="12.75">
      <c r="A12" t="s">
        <v>600</v>
      </c>
      <c r="B12" t="s">
        <v>601</v>
      </c>
      <c r="C12">
        <v>2</v>
      </c>
      <c r="E12">
        <v>1</v>
      </c>
      <c r="F12">
        <v>3</v>
      </c>
      <c r="G12" s="9">
        <f>SUM(E12:F12)</f>
        <v>4</v>
      </c>
      <c r="H12" s="14">
        <f>G12/$G$97*100</f>
        <v>1.646090534979424</v>
      </c>
      <c r="I12" s="9">
        <f>C12</f>
        <v>2</v>
      </c>
      <c r="J12" s="9">
        <f>G12</f>
        <v>4</v>
      </c>
      <c r="K12" s="14">
        <f t="shared" si="0"/>
        <v>0.33195020746887965</v>
      </c>
    </row>
    <row r="13" spans="1:11" ht="12.75">
      <c r="A13" t="s">
        <v>567</v>
      </c>
      <c r="B13" t="s">
        <v>568</v>
      </c>
      <c r="H13" s="14"/>
      <c r="I13" s="9">
        <f>'2009'!C11+'2010'!C13</f>
        <v>1</v>
      </c>
      <c r="J13" s="9">
        <f>'2009'!G11+'2010'!G13</f>
        <v>10</v>
      </c>
      <c r="K13" s="14">
        <f t="shared" si="0"/>
        <v>0.8298755186721992</v>
      </c>
    </row>
    <row r="14" spans="1:11" ht="12.75">
      <c r="A14" t="s">
        <v>535</v>
      </c>
      <c r="B14" t="s">
        <v>536</v>
      </c>
      <c r="H14" s="14"/>
      <c r="I14" s="9">
        <f>'2008'!C12+'2010'!C14</f>
        <v>2</v>
      </c>
      <c r="J14" s="9">
        <f>'2008'!G12+'2010'!G14</f>
        <v>7</v>
      </c>
      <c r="K14" s="14">
        <f t="shared" si="0"/>
        <v>0.5809128630705395</v>
      </c>
    </row>
    <row r="15" spans="1:11" ht="12.75">
      <c r="A15" t="s">
        <v>537</v>
      </c>
      <c r="B15" t="s">
        <v>538</v>
      </c>
      <c r="H15" s="14"/>
      <c r="I15" s="9">
        <f>'2008'!C13+'2010'!C15</f>
        <v>1</v>
      </c>
      <c r="J15" s="9">
        <f>'2010'!G15</f>
        <v>0</v>
      </c>
      <c r="K15" s="14">
        <f t="shared" si="0"/>
        <v>0</v>
      </c>
    </row>
    <row r="16" spans="1:11" ht="12.75">
      <c r="A16" t="s">
        <v>602</v>
      </c>
      <c r="B16" t="s">
        <v>603</v>
      </c>
      <c r="C16">
        <v>3</v>
      </c>
      <c r="E16">
        <v>7</v>
      </c>
      <c r="F16">
        <v>14</v>
      </c>
      <c r="G16" s="9">
        <f>SUM(E16:F16)</f>
        <v>21</v>
      </c>
      <c r="H16" s="14">
        <f>G16/$G$97*100</f>
        <v>8.641975308641975</v>
      </c>
      <c r="I16" s="9">
        <f>C16</f>
        <v>3</v>
      </c>
      <c r="J16" s="9">
        <f>G16</f>
        <v>21</v>
      </c>
      <c r="K16" s="14">
        <f t="shared" si="0"/>
        <v>1.7427385892116183</v>
      </c>
    </row>
    <row r="17" spans="1:11" ht="12.75">
      <c r="A17" t="s">
        <v>569</v>
      </c>
      <c r="B17" t="s">
        <v>570</v>
      </c>
      <c r="C17">
        <v>1</v>
      </c>
      <c r="E17">
        <v>3</v>
      </c>
      <c r="F17">
        <v>3</v>
      </c>
      <c r="G17" s="9">
        <f>SUM(E17:F17)</f>
        <v>6</v>
      </c>
      <c r="H17" s="14">
        <f>G17/$G$97*100</f>
        <v>2.4691358024691357</v>
      </c>
      <c r="I17" s="9">
        <f>'2009'!C14+'2010'!C17</f>
        <v>2</v>
      </c>
      <c r="J17" s="9">
        <f>'2009'!G14+'2010'!G17</f>
        <v>12</v>
      </c>
      <c r="K17" s="14">
        <f t="shared" si="0"/>
        <v>0.9958506224066389</v>
      </c>
    </row>
    <row r="18" spans="1:11" ht="12.75">
      <c r="A18" t="s">
        <v>468</v>
      </c>
      <c r="B18" t="s">
        <v>469</v>
      </c>
      <c r="H18" s="14"/>
      <c r="I18" s="9">
        <f>'2006'!C13+'2008'!C14+'2010'!C18</f>
        <v>2</v>
      </c>
      <c r="J18" s="9">
        <f>'2006'!G13+'2008'!G14+'2010'!G18</f>
        <v>19</v>
      </c>
      <c r="K18" s="14">
        <f t="shared" si="0"/>
        <v>1.5767634854771784</v>
      </c>
    </row>
    <row r="19" spans="1:11" ht="12.75">
      <c r="A19" t="s">
        <v>571</v>
      </c>
      <c r="B19" t="s">
        <v>572</v>
      </c>
      <c r="H19" s="14"/>
      <c r="I19" s="9">
        <f>'2009'!C16+'2010'!C19</f>
        <v>1</v>
      </c>
      <c r="J19" s="9">
        <f>'2009'!G16+'2010'!G19</f>
        <v>10</v>
      </c>
      <c r="K19" s="14">
        <f t="shared" si="0"/>
        <v>0.8298755186721992</v>
      </c>
    </row>
    <row r="20" spans="1:11" ht="12.75">
      <c r="A20" t="s">
        <v>539</v>
      </c>
      <c r="B20" t="s">
        <v>540</v>
      </c>
      <c r="H20" s="14"/>
      <c r="I20" s="9">
        <f>'2008'!C15+'2009'!C17+'2010'!C20</f>
        <v>5</v>
      </c>
      <c r="J20" s="9">
        <f>'2008'!G15+'2009'!G17+'2010'!G20</f>
        <v>23</v>
      </c>
      <c r="K20" s="14">
        <f t="shared" si="0"/>
        <v>1.9087136929460582</v>
      </c>
    </row>
    <row r="21" spans="1:11" ht="12.75">
      <c r="A21" t="s">
        <v>541</v>
      </c>
      <c r="B21" t="s">
        <v>542</v>
      </c>
      <c r="C21">
        <v>1</v>
      </c>
      <c r="E21">
        <v>4</v>
      </c>
      <c r="F21">
        <v>7</v>
      </c>
      <c r="G21" s="9">
        <f>SUM(E21:F21)</f>
        <v>11</v>
      </c>
      <c r="H21" s="14">
        <f>G21/$G$97*100</f>
        <v>4.526748971193416</v>
      </c>
      <c r="I21" s="9">
        <f>'2008'!C16+'2009'!C18+'2010'!C21</f>
        <v>4</v>
      </c>
      <c r="J21" s="9">
        <f>'2008'!G16+'2009'!G18+'2010'!G21</f>
        <v>24</v>
      </c>
      <c r="K21" s="14">
        <f t="shared" si="0"/>
        <v>1.9917012448132778</v>
      </c>
    </row>
    <row r="22" spans="1:11" ht="12.75">
      <c r="A22" t="s">
        <v>487</v>
      </c>
      <c r="B22" t="s">
        <v>438</v>
      </c>
      <c r="H22" s="14"/>
      <c r="I22" s="9">
        <f>'2006'!C16+'2007'!C16+'2009'!C19+'2010'!C22</f>
        <v>8</v>
      </c>
      <c r="J22" s="9">
        <f>'2006'!G16+'2007'!G16+'2009'!G19+'2010'!G22</f>
        <v>46</v>
      </c>
      <c r="K22" s="71">
        <f t="shared" si="0"/>
        <v>3.8174273858921164</v>
      </c>
    </row>
    <row r="23" spans="1:11" ht="12.75">
      <c r="A23" t="s">
        <v>488</v>
      </c>
      <c r="B23" t="s">
        <v>489</v>
      </c>
      <c r="H23" s="14"/>
      <c r="I23" s="9">
        <f>'2006'!C17+'2007'!C17+'2010'!C23</f>
        <v>6</v>
      </c>
      <c r="J23" s="9">
        <f>'2006'!F17+'2007'!G17+'2010'!G23</f>
        <v>30</v>
      </c>
      <c r="K23" s="14">
        <f t="shared" si="0"/>
        <v>2.4896265560165975</v>
      </c>
    </row>
    <row r="24" spans="1:11" ht="12.75">
      <c r="A24" t="s">
        <v>573</v>
      </c>
      <c r="B24" t="s">
        <v>574</v>
      </c>
      <c r="C24">
        <v>2</v>
      </c>
      <c r="E24">
        <v>5</v>
      </c>
      <c r="F24">
        <v>8</v>
      </c>
      <c r="G24" s="9">
        <f>SUM(E24:F24)</f>
        <v>13</v>
      </c>
      <c r="H24" s="14">
        <f>G24/$G$97*100</f>
        <v>5.349794238683128</v>
      </c>
      <c r="I24" s="9">
        <f>'2009'!C21+'2010'!C24</f>
        <v>4</v>
      </c>
      <c r="J24" s="9">
        <f>'2009'!G21+'2010'!G24</f>
        <v>28</v>
      </c>
      <c r="K24" s="14">
        <f t="shared" si="0"/>
        <v>2.323651452282158</v>
      </c>
    </row>
    <row r="25" spans="1:11" ht="12.75">
      <c r="A25" t="s">
        <v>490</v>
      </c>
      <c r="B25" t="s">
        <v>491</v>
      </c>
      <c r="H25" s="14"/>
      <c r="I25" s="9">
        <f>'2006'!C18+'2010'!C25</f>
        <v>2</v>
      </c>
      <c r="J25" s="9">
        <f>'2006'!G18+'2010'!G25</f>
        <v>16</v>
      </c>
      <c r="K25" s="14">
        <f t="shared" si="0"/>
        <v>1.3278008298755186</v>
      </c>
    </row>
    <row r="26" spans="1:11" ht="12.75">
      <c r="A26" t="s">
        <v>543</v>
      </c>
      <c r="B26" t="s">
        <v>544</v>
      </c>
      <c r="C26">
        <v>3</v>
      </c>
      <c r="E26">
        <v>8</v>
      </c>
      <c r="F26">
        <v>10</v>
      </c>
      <c r="G26" s="9">
        <f>SUM(E26:F26)</f>
        <v>18</v>
      </c>
      <c r="H26" s="14">
        <f>G26/$G$97*100</f>
        <v>7.4074074074074066</v>
      </c>
      <c r="I26" s="9">
        <f>'2008'!C20+'2009'!C23+'2010'!C26</f>
        <v>7</v>
      </c>
      <c r="J26" s="9">
        <f>'2008'!G20+'2009'!G23+'2010'!G26</f>
        <v>50</v>
      </c>
      <c r="K26" s="71">
        <f t="shared" si="0"/>
        <v>4.149377593360995</v>
      </c>
    </row>
    <row r="27" spans="1:11" ht="12.75">
      <c r="A27" t="s">
        <v>575</v>
      </c>
      <c r="B27" t="s">
        <v>576</v>
      </c>
      <c r="H27" s="14"/>
      <c r="I27" s="9">
        <f>'2009'!C24+'2010'!C27</f>
        <v>1</v>
      </c>
      <c r="J27" s="9">
        <f>'2009'!G24+'2010'!G27</f>
        <v>9</v>
      </c>
      <c r="K27" s="14">
        <f t="shared" si="0"/>
        <v>0.7468879668049793</v>
      </c>
    </row>
    <row r="28" spans="1:11" ht="12.75">
      <c r="A28" t="s">
        <v>604</v>
      </c>
      <c r="B28" t="s">
        <v>605</v>
      </c>
      <c r="C28">
        <v>1</v>
      </c>
      <c r="E28">
        <v>2</v>
      </c>
      <c r="F28">
        <v>5</v>
      </c>
      <c r="G28" s="9">
        <f>SUM(E28:F28)</f>
        <v>7</v>
      </c>
      <c r="H28" s="14">
        <f>G28/$G$97*100</f>
        <v>2.880658436213992</v>
      </c>
      <c r="I28" s="9">
        <f>C28</f>
        <v>1</v>
      </c>
      <c r="J28" s="9">
        <f>G28</f>
        <v>7</v>
      </c>
      <c r="K28" s="14">
        <f t="shared" si="0"/>
        <v>0.5809128630705395</v>
      </c>
    </row>
    <row r="29" spans="1:11" ht="12.75">
      <c r="A29" t="s">
        <v>545</v>
      </c>
      <c r="B29" t="s">
        <v>546</v>
      </c>
      <c r="H29" s="14"/>
      <c r="I29" s="9">
        <f>'2008'!C21+'2009'!C25+'2010'!C29</f>
        <v>3</v>
      </c>
      <c r="J29" s="9">
        <f>'2008'!G21+'2009'!G25+'2010'!G29</f>
        <v>18</v>
      </c>
      <c r="K29" s="14">
        <f t="shared" si="0"/>
        <v>1.4937759336099585</v>
      </c>
    </row>
    <row r="30" spans="1:11" ht="12.75">
      <c r="A30" t="s">
        <v>408</v>
      </c>
      <c r="B30" t="s">
        <v>377</v>
      </c>
      <c r="H30" s="14"/>
      <c r="I30" s="9">
        <f>'2007'!C19+'2008'!C22+'2010'!C30</f>
        <v>3</v>
      </c>
      <c r="J30" s="9">
        <f>'2007'!G19+'2008'!G22+'2010'!G30</f>
        <v>26</v>
      </c>
      <c r="K30" s="14">
        <f t="shared" si="0"/>
        <v>2.1576763485477177</v>
      </c>
    </row>
    <row r="31" spans="1:11" ht="12.75">
      <c r="A31" t="s">
        <v>492</v>
      </c>
      <c r="B31" t="s">
        <v>493</v>
      </c>
      <c r="H31" s="14"/>
      <c r="I31" s="9">
        <f>'2006'!C20+'2007'!C20+'2009'!C27+'2010'!C31</f>
        <v>10</v>
      </c>
      <c r="J31" s="9">
        <f>'2006'!G20+'2007'!G20+'2009'!G27+'2010'!G31</f>
        <v>65</v>
      </c>
      <c r="K31" s="72">
        <f t="shared" si="0"/>
        <v>5.394190871369295</v>
      </c>
    </row>
    <row r="32" spans="1:11" ht="12.75">
      <c r="A32" t="s">
        <v>606</v>
      </c>
      <c r="B32" t="s">
        <v>607</v>
      </c>
      <c r="C32">
        <v>1</v>
      </c>
      <c r="E32">
        <v>5</v>
      </c>
      <c r="F32">
        <v>3</v>
      </c>
      <c r="G32" s="9">
        <f>E32+F32</f>
        <v>8</v>
      </c>
      <c r="H32" s="14"/>
      <c r="I32" s="9">
        <f>C32</f>
        <v>1</v>
      </c>
      <c r="J32" s="9">
        <f>G32</f>
        <v>8</v>
      </c>
      <c r="K32" s="14">
        <f t="shared" si="0"/>
        <v>0.6639004149377593</v>
      </c>
    </row>
    <row r="33" spans="1:11" ht="12.75">
      <c r="A33" t="s">
        <v>439</v>
      </c>
      <c r="B33" t="s">
        <v>440</v>
      </c>
      <c r="H33" s="14"/>
      <c r="I33" s="9">
        <f>'2006'!C21+'2007'!C21+'2010'!C33</f>
        <v>5</v>
      </c>
      <c r="J33" s="9">
        <f>'2006'!G21+'2007'!G21+'2010'!G33</f>
        <v>37</v>
      </c>
      <c r="K33" s="71">
        <f t="shared" si="0"/>
        <v>3.0705394190871367</v>
      </c>
    </row>
    <row r="34" spans="1:11" ht="12.75">
      <c r="A34" t="s">
        <v>494</v>
      </c>
      <c r="B34" t="s">
        <v>495</v>
      </c>
      <c r="H34" s="14"/>
      <c r="I34" s="9">
        <f>'2006'!C22+'2010'!C34</f>
        <v>1</v>
      </c>
      <c r="J34" s="9">
        <f>'2006'!G22+'2010'!G34</f>
        <v>2</v>
      </c>
      <c r="K34" s="14">
        <f t="shared" si="0"/>
        <v>0.16597510373443983</v>
      </c>
    </row>
    <row r="35" spans="1:11" ht="12.75">
      <c r="A35" t="s">
        <v>496</v>
      </c>
      <c r="B35" t="s">
        <v>497</v>
      </c>
      <c r="C35">
        <v>1</v>
      </c>
      <c r="E35">
        <v>5</v>
      </c>
      <c r="F35">
        <v>2</v>
      </c>
      <c r="G35" s="9">
        <f>SUM(E35:F35)</f>
        <v>7</v>
      </c>
      <c r="H35" s="14">
        <f>G35/$G$97*100</f>
        <v>2.880658436213992</v>
      </c>
      <c r="I35" s="9">
        <f>'2006'!C23+'2008'!C26+'2010'!C35</f>
        <v>3</v>
      </c>
      <c r="J35" s="9">
        <f>'2006'!G23+'2008'!G26+'2010'!G35</f>
        <v>14</v>
      </c>
      <c r="K35" s="14">
        <f aca="true" t="shared" si="1" ref="K35:K66">J35/$J$99*100</f>
        <v>1.161825726141079</v>
      </c>
    </row>
    <row r="36" spans="1:11" ht="12.75">
      <c r="A36" t="s">
        <v>498</v>
      </c>
      <c r="B36" t="s">
        <v>499</v>
      </c>
      <c r="H36" s="14"/>
      <c r="I36" s="9">
        <f>'2006'!C24+'2007'!C24+'2008'!C27+'2010'!C36</f>
        <v>5</v>
      </c>
      <c r="J36" s="9">
        <f>'2006'!G24+'2007'!G24+'2008'!G27+'2010'!G36</f>
        <v>31</v>
      </c>
      <c r="K36" s="14">
        <f t="shared" si="1"/>
        <v>2.572614107883817</v>
      </c>
    </row>
    <row r="37" spans="1:11" ht="12.75">
      <c r="A37" t="s">
        <v>608</v>
      </c>
      <c r="B37" t="s">
        <v>609</v>
      </c>
      <c r="C37">
        <v>1</v>
      </c>
      <c r="E37">
        <v>2</v>
      </c>
      <c r="F37">
        <v>5</v>
      </c>
      <c r="G37" s="9">
        <f>SUM(E37:F37)</f>
        <v>7</v>
      </c>
      <c r="H37" s="14">
        <f>G37/$G$97*100</f>
        <v>2.880658436213992</v>
      </c>
      <c r="I37" s="9">
        <f>C37</f>
        <v>1</v>
      </c>
      <c r="J37" s="9">
        <f>G37</f>
        <v>7</v>
      </c>
      <c r="K37" s="14">
        <f t="shared" si="1"/>
        <v>0.5809128630705395</v>
      </c>
    </row>
    <row r="38" spans="1:11" ht="12.75">
      <c r="A38" t="s">
        <v>577</v>
      </c>
      <c r="B38" t="s">
        <v>578</v>
      </c>
      <c r="H38" s="14"/>
      <c r="I38" s="9">
        <f>'2009'!C32+'2010'!C38</f>
        <v>1</v>
      </c>
      <c r="J38" s="9">
        <f>'2009'!G32+'2010'!G38</f>
        <v>7</v>
      </c>
      <c r="K38" s="14">
        <f t="shared" si="1"/>
        <v>0.5809128630705395</v>
      </c>
    </row>
    <row r="39" spans="1:11" ht="12.75">
      <c r="A39" t="s">
        <v>411</v>
      </c>
      <c r="B39" t="s">
        <v>348</v>
      </c>
      <c r="H39" s="14"/>
      <c r="I39" s="9">
        <f>'2006'!C28+'2010'!C39</f>
        <v>1</v>
      </c>
      <c r="J39" s="9">
        <f>'2006'!G28+'2010'!G39</f>
        <v>7</v>
      </c>
      <c r="K39" s="14">
        <f t="shared" si="1"/>
        <v>0.5809128630705395</v>
      </c>
    </row>
    <row r="40" spans="1:11" ht="12.75">
      <c r="A40" t="s">
        <v>579</v>
      </c>
      <c r="B40" t="s">
        <v>580</v>
      </c>
      <c r="H40" s="14"/>
      <c r="I40" s="9">
        <f>'2009'!C34+'2010'!C40</f>
        <v>1</v>
      </c>
      <c r="J40" s="9">
        <f>'2009'!G34+'2010'!G40</f>
        <v>11</v>
      </c>
      <c r="K40" s="14">
        <f t="shared" si="1"/>
        <v>0.9128630705394192</v>
      </c>
    </row>
    <row r="41" spans="1:11" ht="12.75">
      <c r="A41" t="s">
        <v>610</v>
      </c>
      <c r="B41" t="s">
        <v>611</v>
      </c>
      <c r="C41">
        <v>1</v>
      </c>
      <c r="E41">
        <v>3</v>
      </c>
      <c r="F41">
        <v>7</v>
      </c>
      <c r="G41" s="9">
        <f>SUM(E41:F41)</f>
        <v>10</v>
      </c>
      <c r="H41" s="14">
        <f>G41/$G$97*100</f>
        <v>4.11522633744856</v>
      </c>
      <c r="I41" s="9">
        <f>C41</f>
        <v>1</v>
      </c>
      <c r="J41" s="9">
        <f>G41</f>
        <v>10</v>
      </c>
      <c r="K41" s="14">
        <f t="shared" si="1"/>
        <v>0.8298755186721992</v>
      </c>
    </row>
    <row r="42" spans="1:11" ht="12.75">
      <c r="A42" t="s">
        <v>471</v>
      </c>
      <c r="B42" t="s">
        <v>472</v>
      </c>
      <c r="H42" s="14"/>
      <c r="I42" s="9">
        <f>'2010'!C42</f>
        <v>0</v>
      </c>
      <c r="J42" s="9">
        <f>'2010'!G42</f>
        <v>0</v>
      </c>
      <c r="K42" s="14">
        <f t="shared" si="1"/>
        <v>0</v>
      </c>
    </row>
    <row r="43" spans="1:11" ht="12.75">
      <c r="A43" t="s">
        <v>524</v>
      </c>
      <c r="B43" t="s">
        <v>525</v>
      </c>
      <c r="H43" s="14"/>
      <c r="I43" s="9">
        <f>'2007'!C31+'2010'!C43</f>
        <v>1</v>
      </c>
      <c r="J43" s="9">
        <f>'2007'!G31+'2010'!G43</f>
        <v>6</v>
      </c>
      <c r="K43" s="14">
        <f t="shared" si="1"/>
        <v>0.49792531120331945</v>
      </c>
    </row>
    <row r="44" spans="1:11" ht="12.75">
      <c r="A44" t="s">
        <v>444</v>
      </c>
      <c r="B44" t="s">
        <v>351</v>
      </c>
      <c r="H44" s="14"/>
      <c r="I44" s="9">
        <f>'2010'!C44</f>
        <v>0</v>
      </c>
      <c r="J44" s="9">
        <f>G44</f>
        <v>0</v>
      </c>
      <c r="K44" s="14">
        <f t="shared" si="1"/>
        <v>0</v>
      </c>
    </row>
    <row r="45" spans="1:11" ht="12.75">
      <c r="A45" t="s">
        <v>225</v>
      </c>
      <c r="B45" t="s">
        <v>581</v>
      </c>
      <c r="C45">
        <v>1</v>
      </c>
      <c r="E45">
        <v>6</v>
      </c>
      <c r="F45">
        <v>3</v>
      </c>
      <c r="G45" s="9">
        <f>SUM(E45:F45)</f>
        <v>9</v>
      </c>
      <c r="H45" s="14">
        <f>G45/$G$97*100</f>
        <v>3.7037037037037033</v>
      </c>
      <c r="I45" s="9">
        <f>'2009'!C38+'2010'!C45</f>
        <v>2</v>
      </c>
      <c r="J45" s="9">
        <f>'2009'!G38+'2010'!G45</f>
        <v>18</v>
      </c>
      <c r="K45" s="14">
        <f t="shared" si="1"/>
        <v>1.4937759336099585</v>
      </c>
    </row>
    <row r="46" spans="1:11" ht="12.75">
      <c r="A46" t="s">
        <v>547</v>
      </c>
      <c r="B46" t="s">
        <v>548</v>
      </c>
      <c r="C46">
        <v>1</v>
      </c>
      <c r="E46">
        <v>4</v>
      </c>
      <c r="F46">
        <v>4</v>
      </c>
      <c r="G46" s="9">
        <f>SUM(E46:F46)</f>
        <v>8</v>
      </c>
      <c r="H46" s="14">
        <f>G46/$G$97*100</f>
        <v>3.292181069958848</v>
      </c>
      <c r="I46" s="9">
        <f>'2008'!C34+'2009'!C39+'2010'!C46</f>
        <v>3</v>
      </c>
      <c r="J46" s="9">
        <f>'2008'!G34+'2009'!G39+'2010'!G46</f>
        <v>23</v>
      </c>
      <c r="K46" s="14">
        <f t="shared" si="1"/>
        <v>1.9087136929460582</v>
      </c>
    </row>
    <row r="47" spans="1:11" ht="12.75">
      <c r="A47" t="s">
        <v>549</v>
      </c>
      <c r="B47" t="s">
        <v>550</v>
      </c>
      <c r="C47">
        <v>1</v>
      </c>
      <c r="E47">
        <v>3</v>
      </c>
      <c r="F47">
        <v>3</v>
      </c>
      <c r="G47" s="9">
        <f>SUM(E47:F47)</f>
        <v>6</v>
      </c>
      <c r="H47" s="14">
        <f>G47/$G$97*100</f>
        <v>2.4691358024691357</v>
      </c>
      <c r="I47" s="9">
        <f>'2008'!C35+'2009'!C40+'2010'!C47</f>
        <v>3</v>
      </c>
      <c r="J47" s="9">
        <f>'2008'!G35+'2009'!G40+'2010'!G47</f>
        <v>18</v>
      </c>
      <c r="K47" s="14">
        <f t="shared" si="1"/>
        <v>1.4937759336099585</v>
      </c>
    </row>
    <row r="48" spans="1:11" ht="12.75">
      <c r="A48" t="s">
        <v>419</v>
      </c>
      <c r="B48" t="s">
        <v>420</v>
      </c>
      <c r="H48" s="14"/>
      <c r="I48" s="9">
        <f>C48</f>
        <v>0</v>
      </c>
      <c r="J48" s="9">
        <f>G48</f>
        <v>0</v>
      </c>
      <c r="K48" s="14">
        <f t="shared" si="1"/>
        <v>0</v>
      </c>
    </row>
    <row r="49" spans="1:11" ht="12.75">
      <c r="A49" t="s">
        <v>551</v>
      </c>
      <c r="B49" t="s">
        <v>552</v>
      </c>
      <c r="H49" s="14"/>
      <c r="I49" s="9">
        <f>'2008'!C38+'2010'!C49</f>
        <v>1</v>
      </c>
      <c r="J49" s="9">
        <f>'2008'!G38+'2010'!G49</f>
        <v>6</v>
      </c>
      <c r="K49" s="14">
        <f t="shared" si="1"/>
        <v>0.49792531120331945</v>
      </c>
    </row>
    <row r="50" spans="1:11" ht="12.75">
      <c r="A50" t="s">
        <v>582</v>
      </c>
      <c r="B50" t="s">
        <v>583</v>
      </c>
      <c r="H50" s="14"/>
      <c r="I50" s="9">
        <f>'2009'!C43+'2010'!C50</f>
        <v>1</v>
      </c>
      <c r="J50" s="9">
        <f>'2009'!G43+'2010'!G50</f>
        <v>2</v>
      </c>
      <c r="K50" s="14">
        <f t="shared" si="1"/>
        <v>0.16597510373443983</v>
      </c>
    </row>
    <row r="51" spans="1:11" ht="12.75">
      <c r="A51" t="s">
        <v>553</v>
      </c>
      <c r="B51" t="s">
        <v>554</v>
      </c>
      <c r="H51" s="14"/>
      <c r="I51" s="9">
        <f>'2008'!C39+'2010'!C51</f>
        <v>2</v>
      </c>
      <c r="J51" s="9">
        <f>'2008'!G39+'2010'!G51</f>
        <v>1</v>
      </c>
      <c r="K51" s="14">
        <f t="shared" si="1"/>
        <v>0.08298755186721991</v>
      </c>
    </row>
    <row r="52" spans="1:11" ht="12.75">
      <c r="A52" t="s">
        <v>555</v>
      </c>
      <c r="B52" t="s">
        <v>556</v>
      </c>
      <c r="C52">
        <v>3</v>
      </c>
      <c r="E52">
        <v>13</v>
      </c>
      <c r="F52">
        <v>6</v>
      </c>
      <c r="G52" s="9">
        <f>SUM(E52:F52)</f>
        <v>19</v>
      </c>
      <c r="H52" s="14">
        <f>G52/$G$97*100</f>
        <v>7.818930041152264</v>
      </c>
      <c r="I52" s="9">
        <f>'2008'!C40+'2010'!C52</f>
        <v>4</v>
      </c>
      <c r="J52" s="9">
        <f>'2008'!G40+'2010'!G52</f>
        <v>26</v>
      </c>
      <c r="K52" s="14">
        <f t="shared" si="1"/>
        <v>2.1576763485477177</v>
      </c>
    </row>
    <row r="53" spans="1:11" ht="12.75">
      <c r="A53" t="s">
        <v>198</v>
      </c>
      <c r="B53" t="s">
        <v>199</v>
      </c>
      <c r="H53" s="14"/>
      <c r="I53" s="9">
        <f>'2010'!C53</f>
        <v>0</v>
      </c>
      <c r="J53" s="9">
        <f>G53</f>
        <v>0</v>
      </c>
      <c r="K53" s="14">
        <f t="shared" si="1"/>
        <v>0</v>
      </c>
    </row>
    <row r="54" spans="1:11" ht="12.75">
      <c r="A54" t="s">
        <v>388</v>
      </c>
      <c r="B54" t="s">
        <v>354</v>
      </c>
      <c r="H54" s="14"/>
      <c r="I54" s="9">
        <f>'2010'!C54</f>
        <v>0</v>
      </c>
      <c r="J54" s="9">
        <f>G54</f>
        <v>0</v>
      </c>
      <c r="K54" s="14">
        <f t="shared" si="1"/>
        <v>0</v>
      </c>
    </row>
    <row r="55" spans="1:11" ht="12.75">
      <c r="A55" t="s">
        <v>500</v>
      </c>
      <c r="B55" t="s">
        <v>358</v>
      </c>
      <c r="H55" s="14"/>
      <c r="I55" s="9">
        <f>'2008'!C43+'2010'!C55</f>
        <v>1</v>
      </c>
      <c r="J55" s="9">
        <f>'2008'!G43+'2010'!G55</f>
        <v>7</v>
      </c>
      <c r="K55" s="14">
        <f t="shared" si="1"/>
        <v>0.5809128630705395</v>
      </c>
    </row>
    <row r="56" spans="1:11" ht="12.75">
      <c r="A56" t="s">
        <v>501</v>
      </c>
      <c r="B56" t="s">
        <v>423</v>
      </c>
      <c r="C56">
        <v>1</v>
      </c>
      <c r="E56">
        <v>2</v>
      </c>
      <c r="F56">
        <v>2</v>
      </c>
      <c r="G56" s="9">
        <f>SUM(E56:F56)</f>
        <v>4</v>
      </c>
      <c r="H56" s="14">
        <f>G56/$G$97*100</f>
        <v>1.646090534979424</v>
      </c>
      <c r="I56" s="9">
        <f>'2006'!C43+'2007'!C39+'2010'!C56</f>
        <v>6</v>
      </c>
      <c r="J56" s="9">
        <f>'2006'!G43+'2007'!G39+'2010'!G56</f>
        <v>42</v>
      </c>
      <c r="K56" s="71">
        <f t="shared" si="1"/>
        <v>3.4854771784232366</v>
      </c>
    </row>
    <row r="57" spans="1:11" ht="12.75">
      <c r="A57" t="s">
        <v>557</v>
      </c>
      <c r="B57" t="s">
        <v>558</v>
      </c>
      <c r="H57" s="14"/>
      <c r="I57" s="9">
        <f>'2008'!C45+'2010'!C57</f>
        <v>3</v>
      </c>
      <c r="J57" s="9">
        <f>'2008'!G45+'2010'!G57</f>
        <v>21</v>
      </c>
      <c r="K57" s="14">
        <f t="shared" si="1"/>
        <v>1.7427385892116183</v>
      </c>
    </row>
    <row r="58" spans="1:11" ht="12.75">
      <c r="A58" t="s">
        <v>473</v>
      </c>
      <c r="B58" t="s">
        <v>474</v>
      </c>
      <c r="H58" s="14"/>
      <c r="I58" s="9">
        <f>'2006'!C47+'2009'!C51+'2010'!C58</f>
        <v>3</v>
      </c>
      <c r="J58" s="9">
        <f>'2006'!G47+'2009'!G51+'2010'!G58</f>
        <v>25</v>
      </c>
      <c r="K58" s="14">
        <f t="shared" si="1"/>
        <v>2.0746887966804977</v>
      </c>
    </row>
    <row r="59" spans="1:11" ht="12.75">
      <c r="A59" t="s">
        <v>448</v>
      </c>
      <c r="B59" t="s">
        <v>449</v>
      </c>
      <c r="H59" s="14"/>
      <c r="I59" s="9">
        <f>'2006'!C48+'2010'!C59</f>
        <v>1</v>
      </c>
      <c r="J59" s="9">
        <f>'2006'!G48+'2010'!G59</f>
        <v>7</v>
      </c>
      <c r="K59" s="14">
        <f t="shared" si="1"/>
        <v>0.5809128630705395</v>
      </c>
    </row>
    <row r="60" spans="1:11" ht="12.75">
      <c r="A60" t="s">
        <v>427</v>
      </c>
      <c r="B60" t="s">
        <v>360</v>
      </c>
      <c r="H60" s="14"/>
      <c r="I60" s="9">
        <f>'2006'!C49+'2007'!C43+'2010'!C60</f>
        <v>4</v>
      </c>
      <c r="J60" s="9">
        <f>'2006'!G49+'2007'!G43+'2010'!G60</f>
        <v>24</v>
      </c>
      <c r="K60" s="14">
        <f t="shared" si="1"/>
        <v>1.9917012448132778</v>
      </c>
    </row>
    <row r="61" spans="1:11" ht="12.75">
      <c r="A61" t="s">
        <v>450</v>
      </c>
      <c r="B61" t="s">
        <v>363</v>
      </c>
      <c r="H61" s="14"/>
      <c r="K61" s="14">
        <f t="shared" si="1"/>
        <v>0</v>
      </c>
    </row>
    <row r="62" spans="1:11" ht="12.75">
      <c r="A62" t="s">
        <v>584</v>
      </c>
      <c r="B62" t="s">
        <v>585</v>
      </c>
      <c r="H62" s="14"/>
      <c r="I62" s="9">
        <f>'2009'!C55+'2010'!C62</f>
        <v>1</v>
      </c>
      <c r="J62" s="9">
        <f>'2009'!G55+'2010'!G62</f>
        <v>0</v>
      </c>
      <c r="K62" s="14">
        <f t="shared" si="1"/>
        <v>0</v>
      </c>
    </row>
    <row r="63" spans="1:11" ht="12.75">
      <c r="A63" t="s">
        <v>559</v>
      </c>
      <c r="B63" t="s">
        <v>560</v>
      </c>
      <c r="H63" s="14"/>
      <c r="I63" s="9">
        <f>'2008'!C51+'2009'!C56+'2010'!C63</f>
        <v>3</v>
      </c>
      <c r="J63" s="9">
        <f>'2008'!G51+'2009'!G56+'2010'!G63</f>
        <v>24</v>
      </c>
      <c r="K63" s="14">
        <f t="shared" si="1"/>
        <v>1.9917012448132778</v>
      </c>
    </row>
    <row r="64" spans="1:11" ht="12.75">
      <c r="A64" t="s">
        <v>586</v>
      </c>
      <c r="B64" t="s">
        <v>587</v>
      </c>
      <c r="C64">
        <v>3</v>
      </c>
      <c r="E64">
        <v>12</v>
      </c>
      <c r="F64">
        <v>10</v>
      </c>
      <c r="G64" s="9">
        <f>SUM(E64:F64)</f>
        <v>22</v>
      </c>
      <c r="H64" s="14">
        <f>G64/$G$97*100</f>
        <v>9.053497942386832</v>
      </c>
      <c r="I64" s="9">
        <f>'2009'!C57+'2010'!C64</f>
        <v>4</v>
      </c>
      <c r="J64" s="9">
        <f>'2009'!G57+'2010'!G64</f>
        <v>27</v>
      </c>
      <c r="K64" s="14">
        <f t="shared" si="1"/>
        <v>2.240663900414938</v>
      </c>
    </row>
    <row r="65" spans="1:11" ht="12.75">
      <c r="A65" t="s">
        <v>588</v>
      </c>
      <c r="B65" t="s">
        <v>589</v>
      </c>
      <c r="C65">
        <v>3</v>
      </c>
      <c r="E65">
        <v>10</v>
      </c>
      <c r="F65">
        <v>11</v>
      </c>
      <c r="G65" s="9">
        <f>SUM(E65:F65)</f>
        <v>21</v>
      </c>
      <c r="H65" s="14">
        <f>G65/$G$97*100</f>
        <v>8.641975308641975</v>
      </c>
      <c r="I65" s="9">
        <f>'2009'!C58+'2010'!C65</f>
        <v>5</v>
      </c>
      <c r="J65" s="9">
        <f>'2009'!G58+'2010'!G65</f>
        <v>35</v>
      </c>
      <c r="K65" s="14">
        <f t="shared" si="1"/>
        <v>2.904564315352697</v>
      </c>
    </row>
    <row r="66" spans="1:11" ht="12.75">
      <c r="A66" t="s">
        <v>452</v>
      </c>
      <c r="B66" t="s">
        <v>365</v>
      </c>
      <c r="H66" s="14"/>
      <c r="I66" s="9">
        <f>'2007'!C47+'2008'!C52+'2010'!C66</f>
        <v>5</v>
      </c>
      <c r="J66" s="9">
        <f>'2007'!G47+'2008'!G52+'2010'!G66</f>
        <v>43</v>
      </c>
      <c r="K66" s="71">
        <f t="shared" si="1"/>
        <v>3.568464730290456</v>
      </c>
    </row>
    <row r="67" spans="1:11" ht="12.75">
      <c r="A67" t="s">
        <v>612</v>
      </c>
      <c r="B67" t="s">
        <v>613</v>
      </c>
      <c r="C67">
        <v>1</v>
      </c>
      <c r="E67">
        <v>3</v>
      </c>
      <c r="F67">
        <v>2</v>
      </c>
      <c r="G67" s="9">
        <f>SUM(E67:F67)</f>
        <v>5</v>
      </c>
      <c r="H67" s="14">
        <f>G67/$G$97*100</f>
        <v>2.05761316872428</v>
      </c>
      <c r="I67" s="9">
        <f>C67</f>
        <v>1</v>
      </c>
      <c r="J67" s="9">
        <f>G67</f>
        <v>5</v>
      </c>
      <c r="K67" s="14">
        <f>J67/$J$99*100</f>
        <v>0.4149377593360996</v>
      </c>
    </row>
    <row r="68" spans="1:11" ht="12.75">
      <c r="A68" t="s">
        <v>614</v>
      </c>
      <c r="B68" t="s">
        <v>615</v>
      </c>
      <c r="C68">
        <v>1</v>
      </c>
      <c r="E68">
        <v>1</v>
      </c>
      <c r="F68">
        <v>5</v>
      </c>
      <c r="G68" s="9">
        <f>SUM(E68:F68)</f>
        <v>6</v>
      </c>
      <c r="H68" s="14">
        <f>G68/$G$97*100</f>
        <v>2.4691358024691357</v>
      </c>
      <c r="I68" s="9">
        <f>C68</f>
        <v>1</v>
      </c>
      <c r="J68" s="9">
        <f>G68</f>
        <v>6</v>
      </c>
      <c r="K68" s="14">
        <f>J68/$J$99*100</f>
        <v>0.49792531120331945</v>
      </c>
    </row>
    <row r="69" spans="1:11" ht="12.75">
      <c r="A69" t="s">
        <v>502</v>
      </c>
      <c r="E69" s="9">
        <f>SUM(E3:E66)</f>
        <v>104</v>
      </c>
      <c r="F69" s="9">
        <f>SUM(F3:F66)</f>
        <v>108</v>
      </c>
      <c r="G69" s="9">
        <f>SUM(G3:G68)</f>
        <v>223</v>
      </c>
      <c r="H69" s="14">
        <f>G69/$G$97*100</f>
        <v>91.76954732510289</v>
      </c>
      <c r="J69" s="9">
        <f>SUM(J3:J66)</f>
        <v>1035</v>
      </c>
      <c r="K69" s="14">
        <f>J69/$J$99*100</f>
        <v>85.89211618257261</v>
      </c>
    </row>
    <row r="70" spans="8:11" ht="12.75">
      <c r="H70" s="14"/>
      <c r="K70" s="14"/>
    </row>
    <row r="71" spans="8:11" ht="12.75">
      <c r="H71" s="14"/>
      <c r="K71" s="14"/>
    </row>
    <row r="72" spans="1:11" ht="12.75">
      <c r="A72" t="s">
        <v>526</v>
      </c>
      <c r="B72" t="s">
        <v>527</v>
      </c>
      <c r="H72" s="14"/>
      <c r="I72" s="9">
        <f>'2007'!C54+'2010'!C72</f>
        <v>1</v>
      </c>
      <c r="J72" s="9">
        <f>'2007'!G54+'2010'!G72</f>
        <v>2</v>
      </c>
      <c r="K72" s="14">
        <f aca="true" t="shared" si="2" ref="K72:K93">J72/$J$99*100</f>
        <v>0.16597510373443983</v>
      </c>
    </row>
    <row r="73" spans="1:11" ht="12.75">
      <c r="A73" t="s">
        <v>475</v>
      </c>
      <c r="B73" t="s">
        <v>476</v>
      </c>
      <c r="H73" s="14"/>
      <c r="K73" s="14">
        <f t="shared" si="2"/>
        <v>0</v>
      </c>
    </row>
    <row r="74" spans="1:11" ht="12.75">
      <c r="A74" t="s">
        <v>590</v>
      </c>
      <c r="B74" t="s">
        <v>591</v>
      </c>
      <c r="C74">
        <v>1</v>
      </c>
      <c r="E74">
        <v>2</v>
      </c>
      <c r="F74">
        <v>2</v>
      </c>
      <c r="G74" s="9">
        <f>E74+F74</f>
        <v>4</v>
      </c>
      <c r="H74" s="14"/>
      <c r="I74" s="9">
        <f>'2009'!C65+'2010'!C74</f>
        <v>2</v>
      </c>
      <c r="J74" s="9">
        <f>'2009'!G65+'2010'!G74</f>
        <v>8</v>
      </c>
      <c r="K74" s="14">
        <f t="shared" si="2"/>
        <v>0.6639004149377593</v>
      </c>
    </row>
    <row r="75" spans="1:11" ht="12.75">
      <c r="A75" t="s">
        <v>103</v>
      </c>
      <c r="B75" t="s">
        <v>592</v>
      </c>
      <c r="H75" s="14"/>
      <c r="I75" s="9">
        <f>'2009'!C66+'2010'!C75</f>
        <v>1</v>
      </c>
      <c r="J75" s="9">
        <f>'2009'!G66+'2010'!G75</f>
        <v>7</v>
      </c>
      <c r="K75" s="14">
        <f t="shared" si="2"/>
        <v>0.5809128630705395</v>
      </c>
    </row>
    <row r="76" spans="1:11" ht="12.75">
      <c r="A76" t="s">
        <v>593</v>
      </c>
      <c r="B76" t="s">
        <v>594</v>
      </c>
      <c r="H76" s="14"/>
      <c r="I76" s="9">
        <f>'2009'!C67+'2010'!C76</f>
        <v>2</v>
      </c>
      <c r="J76" s="9">
        <f>'2009'!G67+'2010'!G76</f>
        <v>12</v>
      </c>
      <c r="K76" s="14">
        <f t="shared" si="2"/>
        <v>0.9958506224066389</v>
      </c>
    </row>
    <row r="77" spans="1:11" ht="12.75">
      <c r="A77" t="s">
        <v>403</v>
      </c>
      <c r="B77" t="s">
        <v>477</v>
      </c>
      <c r="H77" s="14"/>
      <c r="K77" s="14">
        <f t="shared" si="2"/>
        <v>0</v>
      </c>
    </row>
    <row r="78" spans="1:11" ht="12.75">
      <c r="A78" t="s">
        <v>528</v>
      </c>
      <c r="B78" t="s">
        <v>529</v>
      </c>
      <c r="H78" s="14"/>
      <c r="I78" s="9">
        <f>'2007'!C58+'2009'!C69+'2010'!C78</f>
        <v>2</v>
      </c>
      <c r="J78" s="9">
        <f>'2007'!G58+'2009'!G69+'2010'!G78</f>
        <v>10</v>
      </c>
      <c r="K78" s="14">
        <f t="shared" si="2"/>
        <v>0.8298755186721992</v>
      </c>
    </row>
    <row r="79" spans="1:11" ht="12.75">
      <c r="A79" t="s">
        <v>503</v>
      </c>
      <c r="B79" t="s">
        <v>504</v>
      </c>
      <c r="C79">
        <v>1</v>
      </c>
      <c r="E79">
        <v>2</v>
      </c>
      <c r="F79">
        <v>7</v>
      </c>
      <c r="G79" s="9">
        <f>SUM(E79:F79)</f>
        <v>9</v>
      </c>
      <c r="H79" s="14">
        <f>G79/$G$97*100</f>
        <v>3.7037037037037033</v>
      </c>
      <c r="I79" s="9">
        <f>'2006'!C66+'2007'!C59+'2008'!C63+'2009'!C70+'2010'!C79</f>
        <v>8</v>
      </c>
      <c r="J79" s="9">
        <f>'2006'!G66+'2007'!G59+'2008'!G63+'2009'!G70+'2010'!G79</f>
        <v>58</v>
      </c>
      <c r="K79" s="14">
        <f t="shared" si="2"/>
        <v>4.813278008298756</v>
      </c>
    </row>
    <row r="80" spans="1:11" ht="12.75">
      <c r="A80" t="s">
        <v>616</v>
      </c>
      <c r="B80" t="s">
        <v>617</v>
      </c>
      <c r="C80">
        <v>1</v>
      </c>
      <c r="E80">
        <v>0</v>
      </c>
      <c r="F80">
        <v>1</v>
      </c>
      <c r="G80" s="9">
        <f>SUM(E80:F80)</f>
        <v>1</v>
      </c>
      <c r="H80" s="14">
        <f>G80/$G$97*100</f>
        <v>0.411522633744856</v>
      </c>
      <c r="I80" s="9">
        <f>C80</f>
        <v>1</v>
      </c>
      <c r="J80" s="9">
        <f>G80</f>
        <v>1</v>
      </c>
      <c r="K80" s="14">
        <f t="shared" si="2"/>
        <v>0.08298755186721991</v>
      </c>
    </row>
    <row r="81" spans="1:11" ht="12.75">
      <c r="A81" t="s">
        <v>618</v>
      </c>
      <c r="B81" t="s">
        <v>619</v>
      </c>
      <c r="C81">
        <v>1</v>
      </c>
      <c r="E81">
        <v>1</v>
      </c>
      <c r="F81">
        <v>0</v>
      </c>
      <c r="G81" s="9">
        <f>SUM(E81:F81)</f>
        <v>1</v>
      </c>
      <c r="H81" s="14">
        <f>G81/$G$97*100</f>
        <v>0.411522633744856</v>
      </c>
      <c r="I81" s="9">
        <f>C81</f>
        <v>1</v>
      </c>
      <c r="J81" s="9">
        <f>G81</f>
        <v>1</v>
      </c>
      <c r="K81" s="14">
        <f t="shared" si="2"/>
        <v>0.08298755186721991</v>
      </c>
    </row>
    <row r="82" spans="1:11" ht="12.75">
      <c r="A82" t="s">
        <v>545</v>
      </c>
      <c r="B82" t="s">
        <v>546</v>
      </c>
      <c r="H82" s="14"/>
      <c r="I82" s="9">
        <f>'2009'!C71+'2010'!C82</f>
        <v>1</v>
      </c>
      <c r="J82" s="9">
        <f>'2009'!G71+'2010'!G82</f>
        <v>6</v>
      </c>
      <c r="K82" s="14">
        <f t="shared" si="2"/>
        <v>0.49792531120331945</v>
      </c>
    </row>
    <row r="83" spans="1:11" ht="12.75">
      <c r="A83" t="s">
        <v>441</v>
      </c>
      <c r="B83" t="s">
        <v>442</v>
      </c>
      <c r="H83" s="14"/>
      <c r="K83" s="14">
        <f t="shared" si="2"/>
        <v>0</v>
      </c>
    </row>
    <row r="84" spans="1:11" ht="12.75">
      <c r="A84" t="s">
        <v>505</v>
      </c>
      <c r="B84" t="s">
        <v>506</v>
      </c>
      <c r="H84" s="14"/>
      <c r="I84" s="9">
        <f>'2006'!C70+'2007'!C61+'2010'!C84</f>
        <v>2</v>
      </c>
      <c r="J84" s="9">
        <f>'2006'!G70+'2007'!G61+'2010'!G84</f>
        <v>13</v>
      </c>
      <c r="K84" s="14">
        <f t="shared" si="2"/>
        <v>1.0788381742738589</v>
      </c>
    </row>
    <row r="85" spans="1:11" ht="12.75">
      <c r="A85" t="s">
        <v>478</v>
      </c>
      <c r="B85" s="50" t="s">
        <v>479</v>
      </c>
      <c r="H85" s="14"/>
      <c r="K85" s="14">
        <f t="shared" si="2"/>
        <v>0</v>
      </c>
    </row>
    <row r="86" spans="1:11" ht="12.75">
      <c r="A86" t="s">
        <v>530</v>
      </c>
      <c r="B86" s="50" t="s">
        <v>508</v>
      </c>
      <c r="H86" s="14"/>
      <c r="I86" s="9">
        <f>'2006'!C72+'2010'!C86</f>
        <v>1</v>
      </c>
      <c r="J86" s="9">
        <f>'2006'!G72+'2010'!G86</f>
        <v>1</v>
      </c>
      <c r="K86" s="14">
        <f t="shared" si="2"/>
        <v>0.08298755186721991</v>
      </c>
    </row>
    <row r="87" spans="1:11" ht="12.75">
      <c r="A87" t="s">
        <v>413</v>
      </c>
      <c r="B87" t="s">
        <v>414</v>
      </c>
      <c r="H87" s="14"/>
      <c r="K87" s="14">
        <f t="shared" si="2"/>
        <v>0</v>
      </c>
    </row>
    <row r="88" spans="1:11" ht="12.75">
      <c r="A88" t="s">
        <v>419</v>
      </c>
      <c r="B88" t="s">
        <v>420</v>
      </c>
      <c r="H88" s="14"/>
      <c r="I88" s="9">
        <f>'2006'!C38+'2007'!C66+'2010'!C88</f>
        <v>2</v>
      </c>
      <c r="J88" s="9">
        <f>'2006'!G38+'2007'!G66+'2010'!G88</f>
        <v>15</v>
      </c>
      <c r="K88" s="14">
        <f t="shared" si="2"/>
        <v>1.2448132780082988</v>
      </c>
    </row>
    <row r="89" spans="1:11" ht="12.75">
      <c r="A89" t="s">
        <v>391</v>
      </c>
      <c r="B89" t="s">
        <v>392</v>
      </c>
      <c r="H89" s="14"/>
      <c r="K89" s="14">
        <f t="shared" si="2"/>
        <v>0</v>
      </c>
    </row>
    <row r="90" spans="1:11" ht="12.75">
      <c r="A90" t="s">
        <v>561</v>
      </c>
      <c r="B90" t="s">
        <v>562</v>
      </c>
      <c r="H90" s="14"/>
      <c r="I90" s="9">
        <f>'2008'!C70+'2010'!C90</f>
        <v>1</v>
      </c>
      <c r="J90" s="9">
        <f>'2008'!G70+'2010'!G90</f>
        <v>1</v>
      </c>
      <c r="K90" s="14">
        <f t="shared" si="2"/>
        <v>0.08298755186721991</v>
      </c>
    </row>
    <row r="91" spans="1:11" ht="12.75">
      <c r="A91" t="s">
        <v>595</v>
      </c>
      <c r="B91" t="s">
        <v>596</v>
      </c>
      <c r="H91" s="14"/>
      <c r="I91" s="9">
        <f>'2009'!C80+'2010'!C91</f>
        <v>1</v>
      </c>
      <c r="J91" s="9">
        <f>'2009'!G80+'2010'!G91</f>
        <v>1</v>
      </c>
      <c r="K91" s="14">
        <f t="shared" si="2"/>
        <v>0.08298755186721991</v>
      </c>
    </row>
    <row r="92" spans="1:11" ht="12.75">
      <c r="A92" t="s">
        <v>482</v>
      </c>
      <c r="B92" t="s">
        <v>483</v>
      </c>
      <c r="H92" s="14"/>
      <c r="I92" s="9">
        <f>'2006'!C76+'2010'!C92</f>
        <v>1</v>
      </c>
      <c r="J92" s="9">
        <f>'2006'!G76+'2010'!G92</f>
        <v>9</v>
      </c>
      <c r="K92" s="14">
        <f t="shared" si="2"/>
        <v>0.7468879668049793</v>
      </c>
    </row>
    <row r="93" spans="1:11" ht="12.75">
      <c r="A93" t="s">
        <v>511</v>
      </c>
      <c r="G93" s="9">
        <f>SUM(G72:G92)</f>
        <v>15</v>
      </c>
      <c r="H93" s="14">
        <f>G93/$G$97*100</f>
        <v>6.172839506172839</v>
      </c>
      <c r="J93" s="9">
        <f>SUM(J72:J92)</f>
        <v>145</v>
      </c>
      <c r="K93" s="14">
        <f t="shared" si="2"/>
        <v>12.033195020746888</v>
      </c>
    </row>
    <row r="94" spans="1:11" ht="12.75">
      <c r="A94" t="s">
        <v>531</v>
      </c>
      <c r="G94" s="9">
        <f>G69+G93</f>
        <v>238</v>
      </c>
      <c r="H94" s="14">
        <f>H69+H93</f>
        <v>97.94238683127573</v>
      </c>
      <c r="J94" s="9">
        <f>SUM(J69+J93)</f>
        <v>1180</v>
      </c>
      <c r="K94" s="14"/>
    </row>
    <row r="95" spans="8:11" ht="12.75">
      <c r="H95" s="14"/>
      <c r="K95" s="14"/>
    </row>
    <row r="96" spans="1:11" ht="12.75">
      <c r="A96" t="s">
        <v>462</v>
      </c>
      <c r="E96">
        <v>4</v>
      </c>
      <c r="F96">
        <v>1</v>
      </c>
      <c r="G96" s="9">
        <f>F96+E96</f>
        <v>5</v>
      </c>
      <c r="H96" s="14">
        <f>G96/$G$97*100</f>
        <v>2.05761316872428</v>
      </c>
      <c r="J96" s="9">
        <f>'2006'!G80+'2007'!G73+'2008'!G76+'2009'!G85+'2010'!G96</f>
        <v>25</v>
      </c>
      <c r="K96" s="14">
        <f>J96/$J$99*100</f>
        <v>2.0746887966804977</v>
      </c>
    </row>
    <row r="97" spans="1:11" ht="12.75">
      <c r="A97" t="s">
        <v>533</v>
      </c>
      <c r="G97" s="9">
        <f>G94+G96</f>
        <v>243</v>
      </c>
      <c r="H97" s="14">
        <f>H96+H94</f>
        <v>100</v>
      </c>
      <c r="K97" s="14"/>
    </row>
    <row r="98" ht="12.75">
      <c r="K98" s="14"/>
    </row>
    <row r="99" spans="1:11" ht="12.75">
      <c r="A99" t="s">
        <v>534</v>
      </c>
      <c r="J99" s="9">
        <f>J94+J96</f>
        <v>1205</v>
      </c>
      <c r="K99" s="14">
        <f>K69+K93+K96</f>
        <v>100</v>
      </c>
    </row>
    <row r="101" spans="1:4" ht="12.75">
      <c r="A101" t="s">
        <v>6</v>
      </c>
      <c r="B101">
        <v>29</v>
      </c>
      <c r="D101" t="s">
        <v>620</v>
      </c>
    </row>
    <row r="102" spans="1:2" ht="12.75">
      <c r="A102" t="s">
        <v>7</v>
      </c>
      <c r="B102">
        <v>43</v>
      </c>
    </row>
    <row r="103" spans="1:2" ht="12.75">
      <c r="A103" t="s">
        <v>563</v>
      </c>
      <c r="B103" s="9">
        <f>4*(B101*B102)/(B101+B102)</f>
        <v>69.27777777777777</v>
      </c>
    </row>
    <row r="105" spans="1:2" ht="12.75">
      <c r="A105" t="s">
        <v>564</v>
      </c>
      <c r="B105" s="9">
        <f>(B103/B102)*50</f>
        <v>80.55555555555554</v>
      </c>
    </row>
    <row r="108" ht="12.75">
      <c r="J108" s="9">
        <f>'2006'!G81+'2007'!G74+'2008'!G77+'2009'!G86+'2010'!G97</f>
        <v>1232</v>
      </c>
    </row>
    <row r="109" spans="1:10" ht="12.75">
      <c r="A109" t="s">
        <v>621</v>
      </c>
      <c r="J109" s="9">
        <f>J108-J99</f>
        <v>27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" right="0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2"/>
  <sheetViews>
    <sheetView zoomScale="90" zoomScaleNormal="90" zoomScalePageLayoutView="0" workbookViewId="0" topLeftCell="A1">
      <selection activeCell="I60" sqref="I60"/>
    </sheetView>
  </sheetViews>
  <sheetFormatPr defaultColWidth="9.140625" defaultRowHeight="12.75"/>
  <cols>
    <col min="1" max="1" width="21.00390625" style="0" customWidth="1"/>
    <col min="2" max="2" width="12.57421875" style="0" customWidth="1"/>
    <col min="3" max="3" width="5.421875" style="0" customWidth="1"/>
    <col min="4" max="4" width="7.28125" style="0" customWidth="1"/>
    <col min="5" max="5" width="7.57421875" style="0" customWidth="1"/>
    <col min="6" max="6" width="6.7109375" style="0" customWidth="1"/>
    <col min="7" max="7" width="4.421875" style="0" customWidth="1"/>
    <col min="9" max="9" width="10.421875" style="0" customWidth="1"/>
  </cols>
  <sheetData>
    <row r="1" spans="1:12" ht="12.75" customHeight="1">
      <c r="A1" s="2" t="s">
        <v>0</v>
      </c>
      <c r="B1" s="48">
        <v>2011</v>
      </c>
      <c r="C1" s="100" t="s">
        <v>4</v>
      </c>
      <c r="D1" s="101" t="s">
        <v>368</v>
      </c>
      <c r="E1" s="100" t="s">
        <v>6</v>
      </c>
      <c r="F1" s="100" t="s">
        <v>7</v>
      </c>
      <c r="G1" s="2"/>
      <c r="H1" s="17"/>
      <c r="I1" s="100" t="s">
        <v>294</v>
      </c>
      <c r="J1" s="100" t="s">
        <v>295</v>
      </c>
      <c r="K1" s="100" t="s">
        <v>322</v>
      </c>
      <c r="L1" s="102" t="s">
        <v>13</v>
      </c>
    </row>
    <row r="2" spans="1:12" ht="12.75">
      <c r="A2" s="49" t="s">
        <v>431</v>
      </c>
      <c r="B2" s="49" t="s">
        <v>3</v>
      </c>
      <c r="C2" s="100"/>
      <c r="D2" s="101"/>
      <c r="E2" s="100"/>
      <c r="F2" s="100"/>
      <c r="G2" s="2" t="s">
        <v>8</v>
      </c>
      <c r="H2" s="17" t="s">
        <v>9</v>
      </c>
      <c r="I2" s="100"/>
      <c r="J2" s="100"/>
      <c r="K2" s="100"/>
      <c r="L2" s="102"/>
    </row>
    <row r="3" spans="1:11" ht="12.75">
      <c r="A3" t="s">
        <v>526</v>
      </c>
      <c r="B3" t="s">
        <v>527</v>
      </c>
      <c r="H3" s="14"/>
      <c r="I3" s="9">
        <f>'2008'!C3+'2009'!C3</f>
        <v>5</v>
      </c>
      <c r="J3" s="9">
        <f>'2008'!G3+'2009'!G3</f>
        <v>27</v>
      </c>
      <c r="K3" s="14">
        <f aca="true" t="shared" si="0" ref="K3:K34">J3/$J$86*100</f>
        <v>2.307692307692308</v>
      </c>
    </row>
    <row r="4" spans="1:11" ht="12.75">
      <c r="A4" t="s">
        <v>598</v>
      </c>
      <c r="B4" t="s">
        <v>599</v>
      </c>
      <c r="C4">
        <v>1</v>
      </c>
      <c r="D4">
        <v>1</v>
      </c>
      <c r="H4" s="14"/>
      <c r="I4" s="9">
        <f>'2010'!C4+'2011'!C4</f>
        <v>2</v>
      </c>
      <c r="J4" s="9">
        <f>'2010'!G4</f>
        <v>7</v>
      </c>
      <c r="K4" s="14">
        <f t="shared" si="0"/>
        <v>0.5982905982905984</v>
      </c>
    </row>
    <row r="5" spans="1:11" ht="12.75">
      <c r="A5" t="s">
        <v>516</v>
      </c>
      <c r="B5" t="s">
        <v>517</v>
      </c>
      <c r="H5" s="14"/>
      <c r="I5" s="9">
        <f>'2007'!C4+'2008'!C5+'2009'!C4</f>
        <v>4</v>
      </c>
      <c r="J5" s="9">
        <f>'2007'!G4+'2008'!G5</f>
        <v>14</v>
      </c>
      <c r="K5" s="14">
        <f t="shared" si="0"/>
        <v>1.1965811965811968</v>
      </c>
    </row>
    <row r="6" spans="1:11" ht="12.75">
      <c r="A6" t="s">
        <v>565</v>
      </c>
      <c r="B6" t="s">
        <v>566</v>
      </c>
      <c r="H6" s="14"/>
      <c r="I6" s="9">
        <f>'2009'!C6</f>
        <v>1</v>
      </c>
      <c r="J6" s="9">
        <f>'2009'!G6</f>
        <v>3</v>
      </c>
      <c r="K6" s="14">
        <f t="shared" si="0"/>
        <v>0.2564102564102564</v>
      </c>
    </row>
    <row r="7" spans="1:11" ht="12.75">
      <c r="A7" t="s">
        <v>518</v>
      </c>
      <c r="B7" t="s">
        <v>519</v>
      </c>
      <c r="H7" s="14"/>
      <c r="I7" s="9">
        <f>'2007'!C7+'2009'!C7+'2010'!C8</f>
        <v>4</v>
      </c>
      <c r="J7" s="9">
        <f>'2007'!G7+'2009'!G7+'2010'!G8</f>
        <v>23</v>
      </c>
      <c r="K7" s="14">
        <f t="shared" si="0"/>
        <v>1.9658119658119657</v>
      </c>
    </row>
    <row r="8" spans="1:11" ht="12.75">
      <c r="A8" t="s">
        <v>466</v>
      </c>
      <c r="B8" t="s">
        <v>467</v>
      </c>
      <c r="H8" s="14"/>
      <c r="I8" s="9">
        <f>'2007'!C8</f>
        <v>1</v>
      </c>
      <c r="J8" s="9">
        <f>'2007'!G8</f>
        <v>9</v>
      </c>
      <c r="K8" s="14">
        <f t="shared" si="0"/>
        <v>0.7692307692307693</v>
      </c>
    </row>
    <row r="9" spans="1:11" ht="12.75">
      <c r="A9" t="s">
        <v>520</v>
      </c>
      <c r="B9" t="s">
        <v>521</v>
      </c>
      <c r="H9" s="14"/>
      <c r="I9" s="9">
        <f>'2007'!C10+'2008'!C9+'2009'!C9</f>
        <v>4</v>
      </c>
      <c r="J9" s="9">
        <f>'2007'!G10</f>
        <v>5</v>
      </c>
      <c r="K9" s="14">
        <f t="shared" si="0"/>
        <v>0.4273504273504274</v>
      </c>
    </row>
    <row r="10" spans="1:11" ht="12.75">
      <c r="A10" t="s">
        <v>432</v>
      </c>
      <c r="B10" t="s">
        <v>402</v>
      </c>
      <c r="H10" s="14"/>
      <c r="I10" s="9">
        <f>'2007'!C11</f>
        <v>1</v>
      </c>
      <c r="J10" s="9">
        <f>'2007'!G11</f>
        <v>9</v>
      </c>
      <c r="K10" s="14">
        <f t="shared" si="0"/>
        <v>0.7692307692307693</v>
      </c>
    </row>
    <row r="11" spans="1:11" ht="12.75">
      <c r="A11" t="s">
        <v>600</v>
      </c>
      <c r="B11" t="s">
        <v>601</v>
      </c>
      <c r="C11">
        <v>3</v>
      </c>
      <c r="E11">
        <v>7</v>
      </c>
      <c r="F11">
        <v>1</v>
      </c>
      <c r="G11" s="9">
        <f>SUM(E11:F11)</f>
        <v>8</v>
      </c>
      <c r="H11" s="14">
        <f>G11/$G$86*100</f>
        <v>3.686635944700461</v>
      </c>
      <c r="I11" s="9">
        <f>'2010'!C12+'2011'!C11</f>
        <v>5</v>
      </c>
      <c r="J11" s="9">
        <f>'2010'!G12+'2011'!G11</f>
        <v>12</v>
      </c>
      <c r="K11" s="14">
        <f t="shared" si="0"/>
        <v>1.0256410256410255</v>
      </c>
    </row>
    <row r="12" spans="1:11" ht="12.75">
      <c r="A12" t="s">
        <v>567</v>
      </c>
      <c r="B12" t="s">
        <v>568</v>
      </c>
      <c r="H12" s="14"/>
      <c r="I12" s="9">
        <f>'2009'!C11</f>
        <v>1</v>
      </c>
      <c r="J12" s="9">
        <f>'2009'!G11</f>
        <v>10</v>
      </c>
      <c r="K12" s="14">
        <f t="shared" si="0"/>
        <v>0.8547008547008548</v>
      </c>
    </row>
    <row r="13" spans="1:11" ht="12.75">
      <c r="A13" t="s">
        <v>622</v>
      </c>
      <c r="B13" t="s">
        <v>623</v>
      </c>
      <c r="C13">
        <v>1</v>
      </c>
      <c r="E13">
        <v>4</v>
      </c>
      <c r="F13">
        <v>3</v>
      </c>
      <c r="G13" s="9">
        <f>SUM(E13:F13)</f>
        <v>7</v>
      </c>
      <c r="H13" s="14">
        <f>G13/$G$86*100</f>
        <v>3.225806451612903</v>
      </c>
      <c r="I13" s="9">
        <f>C13</f>
        <v>1</v>
      </c>
      <c r="J13" s="9">
        <f>G13</f>
        <v>7</v>
      </c>
      <c r="K13" s="14">
        <f t="shared" si="0"/>
        <v>0.5982905982905984</v>
      </c>
    </row>
    <row r="14" spans="1:11" ht="12.75">
      <c r="A14" t="s">
        <v>535</v>
      </c>
      <c r="B14" t="s">
        <v>536</v>
      </c>
      <c r="H14" s="14"/>
      <c r="I14" s="9">
        <f>'2008'!C12</f>
        <v>2</v>
      </c>
      <c r="J14" s="9">
        <f>'2008'!G12</f>
        <v>7</v>
      </c>
      <c r="K14" s="14">
        <f t="shared" si="0"/>
        <v>0.5982905982905984</v>
      </c>
    </row>
    <row r="15" spans="1:11" ht="12.75">
      <c r="A15" t="s">
        <v>624</v>
      </c>
      <c r="B15" t="s">
        <v>625</v>
      </c>
      <c r="C15">
        <v>1</v>
      </c>
      <c r="E15">
        <v>4</v>
      </c>
      <c r="F15">
        <v>3</v>
      </c>
      <c r="G15" s="9">
        <f>SUM(E15:F15)</f>
        <v>7</v>
      </c>
      <c r="H15" s="14">
        <f>G15/$G$86*100</f>
        <v>3.225806451612903</v>
      </c>
      <c r="I15" s="9">
        <f>C15</f>
        <v>1</v>
      </c>
      <c r="J15" s="9">
        <f>G15</f>
        <v>7</v>
      </c>
      <c r="K15" s="14">
        <f t="shared" si="0"/>
        <v>0.5982905982905984</v>
      </c>
    </row>
    <row r="16" spans="1:11" ht="12.75">
      <c r="A16" t="s">
        <v>537</v>
      </c>
      <c r="B16" t="s">
        <v>538</v>
      </c>
      <c r="H16" s="14"/>
      <c r="I16" s="9">
        <f>'2008'!C13</f>
        <v>1</v>
      </c>
      <c r="J16">
        <v>0</v>
      </c>
      <c r="K16" s="14">
        <f t="shared" si="0"/>
        <v>0</v>
      </c>
    </row>
    <row r="17" spans="1:11" ht="12.75">
      <c r="A17" t="s">
        <v>602</v>
      </c>
      <c r="B17" t="s">
        <v>603</v>
      </c>
      <c r="C17">
        <v>3</v>
      </c>
      <c r="D17">
        <v>1</v>
      </c>
      <c r="E17">
        <v>4</v>
      </c>
      <c r="F17">
        <v>1</v>
      </c>
      <c r="G17" s="9">
        <f>SUM(E17:F17)</f>
        <v>5</v>
      </c>
      <c r="H17" s="14">
        <f>G17/$G$86*100</f>
        <v>2.3041474654377883</v>
      </c>
      <c r="I17" s="9">
        <f>'2010'!C16+'2011'!C17</f>
        <v>6</v>
      </c>
      <c r="J17" s="9">
        <f>'2010'!G16+'2011'!G17</f>
        <v>26</v>
      </c>
      <c r="K17" s="14">
        <f t="shared" si="0"/>
        <v>2.2222222222222223</v>
      </c>
    </row>
    <row r="18" spans="1:11" ht="12.75">
      <c r="A18" t="s">
        <v>569</v>
      </c>
      <c r="B18" t="s">
        <v>570</v>
      </c>
      <c r="H18" s="14"/>
      <c r="I18" s="9">
        <f>'2009'!C14+'2010'!C17</f>
        <v>2</v>
      </c>
      <c r="J18" s="9">
        <f>'2009'!G14+'2010'!G17</f>
        <v>12</v>
      </c>
      <c r="K18" s="14">
        <f t="shared" si="0"/>
        <v>1.0256410256410255</v>
      </c>
    </row>
    <row r="19" spans="1:11" ht="12.75">
      <c r="A19" t="s">
        <v>468</v>
      </c>
      <c r="B19" t="s">
        <v>469</v>
      </c>
      <c r="H19" s="14"/>
      <c r="I19" s="9">
        <f>'2008'!C14</f>
        <v>1</v>
      </c>
      <c r="J19" s="9">
        <f>'2008'!G14</f>
        <v>10</v>
      </c>
      <c r="K19" s="14">
        <f t="shared" si="0"/>
        <v>0.8547008547008548</v>
      </c>
    </row>
    <row r="20" spans="1:11" ht="12.75">
      <c r="A20" t="s">
        <v>571</v>
      </c>
      <c r="B20" t="s">
        <v>572</v>
      </c>
      <c r="H20" s="14"/>
      <c r="I20" s="9">
        <f>'2009'!C16</f>
        <v>1</v>
      </c>
      <c r="J20" s="9">
        <f>'2009'!G16</f>
        <v>10</v>
      </c>
      <c r="K20" s="14">
        <f t="shared" si="0"/>
        <v>0.8547008547008548</v>
      </c>
    </row>
    <row r="21" spans="1:11" ht="12.75">
      <c r="A21" t="s">
        <v>539</v>
      </c>
      <c r="B21" t="s">
        <v>540</v>
      </c>
      <c r="H21" s="14"/>
      <c r="I21" s="9">
        <f>'2008'!C15+'2009'!C17</f>
        <v>5</v>
      </c>
      <c r="J21" s="9">
        <f>'2008'!G15+'2009'!G17</f>
        <v>23</v>
      </c>
      <c r="K21" s="14">
        <f t="shared" si="0"/>
        <v>1.9658119658119657</v>
      </c>
    </row>
    <row r="22" spans="1:11" ht="12.75">
      <c r="A22" t="s">
        <v>541</v>
      </c>
      <c r="B22" t="s">
        <v>542</v>
      </c>
      <c r="H22" s="14"/>
      <c r="I22" s="9">
        <f>'2008'!C16+'2009'!C18+'2010'!C21</f>
        <v>4</v>
      </c>
      <c r="J22" s="9">
        <f>'2009'!G18+'2010'!G21</f>
        <v>24</v>
      </c>
      <c r="K22" s="14">
        <f t="shared" si="0"/>
        <v>2.051282051282051</v>
      </c>
    </row>
    <row r="23" spans="1:11" ht="12.75">
      <c r="A23" t="s">
        <v>487</v>
      </c>
      <c r="B23" t="s">
        <v>438</v>
      </c>
      <c r="H23" s="14"/>
      <c r="I23" s="9">
        <f>'2007'!C16+'2009'!C19</f>
        <v>5</v>
      </c>
      <c r="J23" s="9">
        <f>'2007'!G16+'2009'!G19</f>
        <v>28</v>
      </c>
      <c r="K23" s="14">
        <f t="shared" si="0"/>
        <v>2.3931623931623935</v>
      </c>
    </row>
    <row r="24" spans="1:11" ht="12" customHeight="1">
      <c r="A24" t="s">
        <v>488</v>
      </c>
      <c r="B24" t="s">
        <v>489</v>
      </c>
      <c r="H24" s="14"/>
      <c r="I24" s="9">
        <f>'2007'!C17</f>
        <v>2</v>
      </c>
      <c r="J24" s="9">
        <f>'2007'!G17</f>
        <v>11</v>
      </c>
      <c r="K24" s="14">
        <f t="shared" si="0"/>
        <v>0.9401709401709402</v>
      </c>
    </row>
    <row r="25" spans="1:11" ht="12.75">
      <c r="A25" t="s">
        <v>573</v>
      </c>
      <c r="B25" t="s">
        <v>574</v>
      </c>
      <c r="H25" s="14"/>
      <c r="I25" s="9">
        <f>'2009'!C21+'2010'!C24</f>
        <v>4</v>
      </c>
      <c r="J25" s="9">
        <f>'2009'!G21+'2010'!G24</f>
        <v>28</v>
      </c>
      <c r="K25" s="14">
        <f t="shared" si="0"/>
        <v>2.3931623931623935</v>
      </c>
    </row>
    <row r="26" spans="1:11" ht="12.75">
      <c r="A26" t="s">
        <v>543</v>
      </c>
      <c r="B26" t="s">
        <v>544</v>
      </c>
      <c r="C26">
        <v>1</v>
      </c>
      <c r="E26">
        <v>3</v>
      </c>
      <c r="F26">
        <v>6</v>
      </c>
      <c r="G26" s="9">
        <f>SUM(E26:F26)</f>
        <v>9</v>
      </c>
      <c r="H26" s="14">
        <f>G26/$G$86*100</f>
        <v>4.147465437788019</v>
      </c>
      <c r="I26" s="9">
        <f>'2008'!C20+'2009'!C23+'2010'!C26+'2011'!C26</f>
        <v>8</v>
      </c>
      <c r="J26" s="9">
        <f>'2008'!G20+'2009'!G23+'2010'!G26+'2011'!G26</f>
        <v>59</v>
      </c>
      <c r="K26" s="72">
        <f t="shared" si="0"/>
        <v>5.042735042735043</v>
      </c>
    </row>
    <row r="27" spans="1:11" ht="12.75">
      <c r="A27" t="s">
        <v>575</v>
      </c>
      <c r="B27" t="s">
        <v>576</v>
      </c>
      <c r="H27" s="14"/>
      <c r="I27" s="9">
        <f>'2009'!C24</f>
        <v>1</v>
      </c>
      <c r="J27" s="9">
        <f>'2009'!G24</f>
        <v>9</v>
      </c>
      <c r="K27" s="14">
        <f t="shared" si="0"/>
        <v>0.7692307692307693</v>
      </c>
    </row>
    <row r="28" spans="1:11" ht="12.75">
      <c r="A28" t="s">
        <v>604</v>
      </c>
      <c r="B28" t="s">
        <v>605</v>
      </c>
      <c r="C28">
        <v>2</v>
      </c>
      <c r="D28">
        <v>1</v>
      </c>
      <c r="E28">
        <v>6</v>
      </c>
      <c r="F28">
        <v>3</v>
      </c>
      <c r="G28" s="9">
        <f>SUM(E28:F28)</f>
        <v>9</v>
      </c>
      <c r="H28" s="14">
        <f>G28/$G$86*100</f>
        <v>4.147465437788019</v>
      </c>
      <c r="I28" s="9">
        <f>'2010'!C28+'2011'!C28</f>
        <v>3</v>
      </c>
      <c r="J28" s="9">
        <f>'2010'!G28+'2011'!G28</f>
        <v>16</v>
      </c>
      <c r="K28" s="14">
        <f t="shared" si="0"/>
        <v>1.3675213675213675</v>
      </c>
    </row>
    <row r="29" spans="1:11" ht="12.75">
      <c r="A29" t="s">
        <v>545</v>
      </c>
      <c r="B29" t="s">
        <v>546</v>
      </c>
      <c r="H29" s="14"/>
      <c r="I29" s="9">
        <f>'2008'!C21+'2009'!C25</f>
        <v>3</v>
      </c>
      <c r="J29" s="9">
        <f>'2008'!G21</f>
        <v>18</v>
      </c>
      <c r="K29" s="14">
        <f t="shared" si="0"/>
        <v>1.5384615384615385</v>
      </c>
    </row>
    <row r="30" spans="1:11" ht="12.75">
      <c r="A30" t="s">
        <v>408</v>
      </c>
      <c r="B30" t="s">
        <v>377</v>
      </c>
      <c r="H30" s="14"/>
      <c r="I30" s="9">
        <f>'2007'!C19+'2008'!C22</f>
        <v>3</v>
      </c>
      <c r="J30" s="9">
        <f>'2007'!G19+'2008'!G22</f>
        <v>26</v>
      </c>
      <c r="K30" s="14">
        <f t="shared" si="0"/>
        <v>2.2222222222222223</v>
      </c>
    </row>
    <row r="31" spans="1:11" ht="12.75">
      <c r="A31" t="s">
        <v>492</v>
      </c>
      <c r="B31" t="s">
        <v>493</v>
      </c>
      <c r="H31" s="14"/>
      <c r="I31" s="9">
        <f>'2007'!C20+'2009'!C27</f>
        <v>6</v>
      </c>
      <c r="J31" s="9">
        <f>'2007'!G20+'2009'!G27</f>
        <v>43</v>
      </c>
      <c r="K31" s="14">
        <f t="shared" si="0"/>
        <v>3.6752136752136755</v>
      </c>
    </row>
    <row r="32" spans="1:11" ht="12.75">
      <c r="A32" t="s">
        <v>606</v>
      </c>
      <c r="B32" t="s">
        <v>607</v>
      </c>
      <c r="C32">
        <v>1</v>
      </c>
      <c r="E32">
        <v>3</v>
      </c>
      <c r="F32">
        <v>4</v>
      </c>
      <c r="G32" s="9">
        <f>E32+F32</f>
        <v>7</v>
      </c>
      <c r="H32" s="14">
        <f>G32/$G$86*100</f>
        <v>3.225806451612903</v>
      </c>
      <c r="I32" s="9">
        <f>'2010'!C32+'2011'!C32</f>
        <v>2</v>
      </c>
      <c r="J32" s="9">
        <f>'2010'!G32+'2011'!G32</f>
        <v>15</v>
      </c>
      <c r="K32" s="14">
        <f t="shared" si="0"/>
        <v>1.282051282051282</v>
      </c>
    </row>
    <row r="33" spans="1:11" ht="12.75">
      <c r="A33" t="s">
        <v>439</v>
      </c>
      <c r="B33" t="s">
        <v>440</v>
      </c>
      <c r="H33" s="14"/>
      <c r="I33" s="9">
        <f>'2007'!C21</f>
        <v>1</v>
      </c>
      <c r="J33" s="9">
        <f>'2007'!G21</f>
        <v>8</v>
      </c>
      <c r="K33" s="14">
        <f t="shared" si="0"/>
        <v>0.6837606837606838</v>
      </c>
    </row>
    <row r="34" spans="1:11" ht="12.75">
      <c r="A34" t="s">
        <v>496</v>
      </c>
      <c r="B34" t="s">
        <v>497</v>
      </c>
      <c r="C34">
        <v>1</v>
      </c>
      <c r="E34">
        <v>1</v>
      </c>
      <c r="F34">
        <v>2</v>
      </c>
      <c r="G34" s="9">
        <f>SUM(E34:F34)</f>
        <v>3</v>
      </c>
      <c r="H34" s="14">
        <f>G34/$G$86*100</f>
        <v>1.3824884792626728</v>
      </c>
      <c r="I34" s="9">
        <f>'2008'!C26+'2010'!C35</f>
        <v>2</v>
      </c>
      <c r="J34" s="9">
        <f>'2010'!G35</f>
        <v>7</v>
      </c>
      <c r="K34" s="14">
        <f t="shared" si="0"/>
        <v>0.5982905982905984</v>
      </c>
    </row>
    <row r="35" spans="1:11" ht="12.75">
      <c r="A35" t="s">
        <v>498</v>
      </c>
      <c r="B35" t="s">
        <v>499</v>
      </c>
      <c r="H35" s="14"/>
      <c r="I35" s="9">
        <f>'2007'!C24+'2008'!C27</f>
        <v>4</v>
      </c>
      <c r="J35" s="9">
        <f>'2007'!G24+'2008'!G27</f>
        <v>27</v>
      </c>
      <c r="K35" s="14">
        <f aca="true" t="shared" si="1" ref="K35:K66">J35/$J$86*100</f>
        <v>2.307692307692308</v>
      </c>
    </row>
    <row r="36" spans="1:11" ht="12.75">
      <c r="A36" t="s">
        <v>626</v>
      </c>
      <c r="B36" t="s">
        <v>627</v>
      </c>
      <c r="C36">
        <v>1</v>
      </c>
      <c r="E36">
        <v>3</v>
      </c>
      <c r="F36">
        <v>2</v>
      </c>
      <c r="G36" s="9">
        <f>SUM(E36:F36)</f>
        <v>5</v>
      </c>
      <c r="H36" s="14">
        <f>G36/$G$86*100</f>
        <v>2.3041474654377883</v>
      </c>
      <c r="I36" s="9">
        <f>C36</f>
        <v>1</v>
      </c>
      <c r="J36" s="9">
        <f>G36</f>
        <v>5</v>
      </c>
      <c r="K36" s="14">
        <f t="shared" si="1"/>
        <v>0.4273504273504274</v>
      </c>
    </row>
    <row r="37" spans="1:11" ht="12.75">
      <c r="A37" t="s">
        <v>628</v>
      </c>
      <c r="B37" t="s">
        <v>609</v>
      </c>
      <c r="H37" s="14"/>
      <c r="I37" s="9">
        <f>'2010'!C37</f>
        <v>1</v>
      </c>
      <c r="J37" s="9">
        <f>'2010'!G37</f>
        <v>7</v>
      </c>
      <c r="K37" s="14">
        <f t="shared" si="1"/>
        <v>0.5982905982905984</v>
      </c>
    </row>
    <row r="38" spans="1:11" ht="12.75">
      <c r="A38" t="s">
        <v>577</v>
      </c>
      <c r="B38" t="s">
        <v>578</v>
      </c>
      <c r="H38" s="14"/>
      <c r="I38" s="9">
        <f>'2009'!C32</f>
        <v>1</v>
      </c>
      <c r="J38" s="9">
        <f>'2009'!G32</f>
        <v>7</v>
      </c>
      <c r="K38" s="14">
        <f t="shared" si="1"/>
        <v>0.5982905982905984</v>
      </c>
    </row>
    <row r="39" spans="1:11" ht="12.75">
      <c r="A39" t="s">
        <v>629</v>
      </c>
      <c r="B39" t="s">
        <v>630</v>
      </c>
      <c r="C39">
        <v>2</v>
      </c>
      <c r="E39">
        <v>3</v>
      </c>
      <c r="F39">
        <v>8</v>
      </c>
      <c r="G39" s="9">
        <f>SUM(E39:F39)</f>
        <v>11</v>
      </c>
      <c r="H39" s="14">
        <f>G39/$G$86*100</f>
        <v>5.0691244239631335</v>
      </c>
      <c r="I39" s="9">
        <f>C39</f>
        <v>2</v>
      </c>
      <c r="J39" s="9">
        <f>G39</f>
        <v>11</v>
      </c>
      <c r="K39" s="14">
        <f t="shared" si="1"/>
        <v>0.9401709401709402</v>
      </c>
    </row>
    <row r="40" spans="1:11" ht="12.75">
      <c r="A40" t="s">
        <v>579</v>
      </c>
      <c r="B40" t="s">
        <v>580</v>
      </c>
      <c r="H40" s="14"/>
      <c r="I40" s="9">
        <f>'2009'!C34</f>
        <v>1</v>
      </c>
      <c r="J40" s="9">
        <f>'2009'!G34</f>
        <v>11</v>
      </c>
      <c r="K40" s="14">
        <f t="shared" si="1"/>
        <v>0.9401709401709402</v>
      </c>
    </row>
    <row r="41" spans="1:11" ht="12.75">
      <c r="A41" t="s">
        <v>610</v>
      </c>
      <c r="B41" t="s">
        <v>611</v>
      </c>
      <c r="H41" s="14"/>
      <c r="I41" s="9">
        <f>'2010'!C41</f>
        <v>1</v>
      </c>
      <c r="J41" s="9">
        <f>'2010'!G41</f>
        <v>10</v>
      </c>
      <c r="K41" s="14">
        <f t="shared" si="1"/>
        <v>0.8547008547008548</v>
      </c>
    </row>
    <row r="42" spans="1:11" ht="12.75">
      <c r="A42" t="s">
        <v>524</v>
      </c>
      <c r="B42" t="s">
        <v>525</v>
      </c>
      <c r="H42" s="14"/>
      <c r="I42" s="9">
        <f>'2007'!C31</f>
        <v>1</v>
      </c>
      <c r="J42" s="9">
        <f>'2007'!G31</f>
        <v>6</v>
      </c>
      <c r="K42" s="14">
        <f t="shared" si="1"/>
        <v>0.5128205128205128</v>
      </c>
    </row>
    <row r="43" spans="1:11" ht="12.75">
      <c r="A43" t="s">
        <v>225</v>
      </c>
      <c r="B43" t="s">
        <v>581</v>
      </c>
      <c r="C43">
        <v>2</v>
      </c>
      <c r="E43">
        <v>11</v>
      </c>
      <c r="F43">
        <v>3</v>
      </c>
      <c r="G43" s="9">
        <f>SUM(E43:F43)</f>
        <v>14</v>
      </c>
      <c r="H43" s="14">
        <f>G43/$G$86*100</f>
        <v>6.451612903225806</v>
      </c>
      <c r="I43" s="9">
        <f>'2009'!C38+'2010'!C45+'2011'!C43</f>
        <v>4</v>
      </c>
      <c r="J43" s="9">
        <f>'2009'!G38+'2010'!G45+'2011'!G43</f>
        <v>32</v>
      </c>
      <c r="K43" s="14">
        <f t="shared" si="1"/>
        <v>2.735042735042735</v>
      </c>
    </row>
    <row r="44" spans="1:11" ht="12.75">
      <c r="A44" t="s">
        <v>547</v>
      </c>
      <c r="B44" t="s">
        <v>548</v>
      </c>
      <c r="C44">
        <v>1</v>
      </c>
      <c r="E44">
        <v>7</v>
      </c>
      <c r="F44">
        <v>4</v>
      </c>
      <c r="G44" s="9">
        <f>SUM(E44:F44)</f>
        <v>11</v>
      </c>
      <c r="H44" s="14">
        <f>G44/$G$86*100</f>
        <v>5.0691244239631335</v>
      </c>
      <c r="I44" s="9">
        <f>'2008'!C34+'2009'!C39+'2010'!C46+'2011'!C44</f>
        <v>4</v>
      </c>
      <c r="J44" s="9">
        <f>'2008'!G34+'2009'!G39+'2010'!G46+'2011'!G44</f>
        <v>34</v>
      </c>
      <c r="K44" s="14">
        <f t="shared" si="1"/>
        <v>2.905982905982906</v>
      </c>
    </row>
    <row r="45" spans="1:11" ht="12.75">
      <c r="A45" t="s">
        <v>549</v>
      </c>
      <c r="B45" t="s">
        <v>550</v>
      </c>
      <c r="H45" s="14"/>
      <c r="I45" s="9">
        <f>'2008'!C35+'2009'!C40+'2010'!C47</f>
        <v>3</v>
      </c>
      <c r="J45" s="9">
        <f>'2008'!G35+'2009'!G40+'2010'!G47</f>
        <v>18</v>
      </c>
      <c r="K45" s="14">
        <f t="shared" si="1"/>
        <v>1.5384615384615385</v>
      </c>
    </row>
    <row r="46" spans="1:11" ht="12.75">
      <c r="A46" t="s">
        <v>631</v>
      </c>
      <c r="B46" t="s">
        <v>632</v>
      </c>
      <c r="C46">
        <v>3</v>
      </c>
      <c r="E46">
        <v>13</v>
      </c>
      <c r="F46">
        <v>8</v>
      </c>
      <c r="G46" s="9">
        <f>SUM(E46:F46)</f>
        <v>21</v>
      </c>
      <c r="H46" s="14">
        <f>G46/$G$86*100</f>
        <v>9.67741935483871</v>
      </c>
      <c r="I46" s="9">
        <f>C46</f>
        <v>3</v>
      </c>
      <c r="J46" s="9">
        <f>G46</f>
        <v>21</v>
      </c>
      <c r="K46" s="14">
        <f t="shared" si="1"/>
        <v>1.7948717948717947</v>
      </c>
    </row>
    <row r="47" spans="1:11" ht="12.75">
      <c r="A47" t="s">
        <v>551</v>
      </c>
      <c r="B47" t="s">
        <v>552</v>
      </c>
      <c r="H47" s="14"/>
      <c r="I47" s="9">
        <f>'2008'!C38</f>
        <v>1</v>
      </c>
      <c r="J47" s="9">
        <f>'2008'!G38</f>
        <v>6</v>
      </c>
      <c r="K47" s="14">
        <f t="shared" si="1"/>
        <v>0.5128205128205128</v>
      </c>
    </row>
    <row r="48" spans="1:11" ht="12.75">
      <c r="A48" t="s">
        <v>582</v>
      </c>
      <c r="B48" t="s">
        <v>583</v>
      </c>
      <c r="H48" s="14"/>
      <c r="I48" s="9">
        <f>'2009'!C43</f>
        <v>1</v>
      </c>
      <c r="J48" s="9">
        <f>'2009'!G43</f>
        <v>2</v>
      </c>
      <c r="K48" s="14">
        <f t="shared" si="1"/>
        <v>0.17094017094017094</v>
      </c>
    </row>
    <row r="49" spans="1:11" ht="12.75">
      <c r="A49" t="s">
        <v>553</v>
      </c>
      <c r="B49" t="s">
        <v>554</v>
      </c>
      <c r="H49" s="14"/>
      <c r="I49" s="9">
        <f>'2008'!C39</f>
        <v>2</v>
      </c>
      <c r="J49" s="9">
        <f>'2008'!G39</f>
        <v>1</v>
      </c>
      <c r="K49" s="14">
        <f t="shared" si="1"/>
        <v>0.08547008547008547</v>
      </c>
    </row>
    <row r="50" spans="1:11" ht="12.75">
      <c r="A50" t="s">
        <v>555</v>
      </c>
      <c r="B50" t="s">
        <v>556</v>
      </c>
      <c r="C50">
        <v>1</v>
      </c>
      <c r="E50">
        <v>3</v>
      </c>
      <c r="F50">
        <v>3</v>
      </c>
      <c r="G50" s="9">
        <f>SUM(E50:F50)</f>
        <v>6</v>
      </c>
      <c r="H50" s="14">
        <f>G50/$G$86*100</f>
        <v>2.7649769585253456</v>
      </c>
      <c r="I50" s="9">
        <f>'2008'!C40+'2010'!C52+'2011'!C50</f>
        <v>5</v>
      </c>
      <c r="J50" s="9">
        <f>'2008'!G40+'2010'!G52+'2011'!G50</f>
        <v>32</v>
      </c>
      <c r="K50" s="14">
        <f t="shared" si="1"/>
        <v>2.735042735042735</v>
      </c>
    </row>
    <row r="51" spans="1:11" ht="12.75">
      <c r="A51" t="s">
        <v>500</v>
      </c>
      <c r="B51" t="s">
        <v>358</v>
      </c>
      <c r="H51" s="14"/>
      <c r="I51" s="9">
        <f>'2008'!C43</f>
        <v>1</v>
      </c>
      <c r="J51" s="9">
        <f>'2008'!G43</f>
        <v>7</v>
      </c>
      <c r="K51" s="14">
        <f t="shared" si="1"/>
        <v>0.5982905982905984</v>
      </c>
    </row>
    <row r="52" spans="1:11" ht="12.75">
      <c r="A52" t="s">
        <v>501</v>
      </c>
      <c r="B52" t="s">
        <v>423</v>
      </c>
      <c r="C52">
        <v>2</v>
      </c>
      <c r="D52">
        <v>1</v>
      </c>
      <c r="E52">
        <v>4</v>
      </c>
      <c r="F52">
        <v>0</v>
      </c>
      <c r="G52" s="9">
        <f>SUM(E52:F52)</f>
        <v>4</v>
      </c>
      <c r="H52" s="14">
        <f>G52/$G$86*100</f>
        <v>1.8433179723502304</v>
      </c>
      <c r="I52" s="9">
        <f>'2007'!C39+'2010'!C56+'2011'!C52</f>
        <v>5</v>
      </c>
      <c r="J52" s="9">
        <f>'2007'!G39+'2010'!G56+'2011'!G52</f>
        <v>21</v>
      </c>
      <c r="K52" s="14">
        <f t="shared" si="1"/>
        <v>1.7948717948717947</v>
      </c>
    </row>
    <row r="53" spans="1:11" ht="12.75">
      <c r="A53" t="s">
        <v>557</v>
      </c>
      <c r="B53" t="s">
        <v>558</v>
      </c>
      <c r="H53" s="14"/>
      <c r="I53" s="9">
        <f>'2008'!C45</f>
        <v>3</v>
      </c>
      <c r="J53" s="9">
        <f>'2008'!G45</f>
        <v>21</v>
      </c>
      <c r="K53" s="14">
        <f t="shared" si="1"/>
        <v>1.7948717948717947</v>
      </c>
    </row>
    <row r="54" spans="1:11" ht="12.75">
      <c r="A54" t="s">
        <v>473</v>
      </c>
      <c r="B54" t="s">
        <v>474</v>
      </c>
      <c r="H54" s="14"/>
      <c r="I54" s="9">
        <f>'2009'!C51</f>
        <v>1</v>
      </c>
      <c r="J54" s="9">
        <f>'2009'!G51</f>
        <v>7</v>
      </c>
      <c r="K54" s="14">
        <f t="shared" si="1"/>
        <v>0.5982905982905984</v>
      </c>
    </row>
    <row r="55" spans="1:11" ht="12.75">
      <c r="A55" t="s">
        <v>427</v>
      </c>
      <c r="B55" t="s">
        <v>360</v>
      </c>
      <c r="H55" s="14"/>
      <c r="I55" s="9">
        <f>'2007'!C43</f>
        <v>1</v>
      </c>
      <c r="J55" s="9">
        <f>'2007'!G43</f>
        <v>8</v>
      </c>
      <c r="K55" s="14">
        <f t="shared" si="1"/>
        <v>0.6837606837606838</v>
      </c>
    </row>
    <row r="56" spans="1:11" ht="12.75">
      <c r="A56" t="s">
        <v>584</v>
      </c>
      <c r="B56" t="s">
        <v>585</v>
      </c>
      <c r="H56" s="14"/>
      <c r="I56" s="9">
        <f>'2009'!C55</f>
        <v>1</v>
      </c>
      <c r="J56">
        <v>0</v>
      </c>
      <c r="K56" s="14">
        <f t="shared" si="1"/>
        <v>0</v>
      </c>
    </row>
    <row r="57" spans="1:11" ht="12.75">
      <c r="A57" t="s">
        <v>559</v>
      </c>
      <c r="B57" t="s">
        <v>560</v>
      </c>
      <c r="H57" s="14"/>
      <c r="I57" s="9">
        <f>'2008'!C51+'2009'!C56</f>
        <v>3</v>
      </c>
      <c r="J57" s="9">
        <f>'2008'!G51+'2009'!G56</f>
        <v>24</v>
      </c>
      <c r="K57" s="14">
        <f t="shared" si="1"/>
        <v>2.051282051282051</v>
      </c>
    </row>
    <row r="58" spans="1:11" ht="12.75">
      <c r="A58" t="s">
        <v>633</v>
      </c>
      <c r="B58" t="s">
        <v>634</v>
      </c>
      <c r="C58">
        <v>2</v>
      </c>
      <c r="D58">
        <v>1</v>
      </c>
      <c r="E58">
        <v>6</v>
      </c>
      <c r="F58">
        <v>9</v>
      </c>
      <c r="G58" s="9">
        <f>SUM(E58:F58)</f>
        <v>15</v>
      </c>
      <c r="H58" s="14">
        <f>G58/$G$86*100</f>
        <v>6.912442396313365</v>
      </c>
      <c r="I58" s="9">
        <f>C58</f>
        <v>2</v>
      </c>
      <c r="J58" s="9">
        <f>G58</f>
        <v>15</v>
      </c>
      <c r="K58" s="14">
        <f t="shared" si="1"/>
        <v>1.282051282051282</v>
      </c>
    </row>
    <row r="59" spans="1:11" ht="12.75">
      <c r="A59" t="s">
        <v>586</v>
      </c>
      <c r="B59" t="s">
        <v>587</v>
      </c>
      <c r="C59">
        <v>1</v>
      </c>
      <c r="E59">
        <v>4</v>
      </c>
      <c r="F59">
        <v>2</v>
      </c>
      <c r="G59" s="9">
        <f>SUM(E59:F59)</f>
        <v>6</v>
      </c>
      <c r="H59" s="14">
        <f>G59/$G$86*100</f>
        <v>2.7649769585253456</v>
      </c>
      <c r="I59" s="9">
        <f>'2009'!C57+'2010'!C64+'2011'!C59</f>
        <v>5</v>
      </c>
      <c r="J59" s="9">
        <f>'2009'!G57+'2010'!G64+'2011'!G59</f>
        <v>33</v>
      </c>
      <c r="K59" s="14">
        <f t="shared" si="1"/>
        <v>2.8205128205128207</v>
      </c>
    </row>
    <row r="60" spans="1:11" ht="12.75">
      <c r="A60" t="s">
        <v>588</v>
      </c>
      <c r="B60" t="s">
        <v>589</v>
      </c>
      <c r="C60">
        <v>3</v>
      </c>
      <c r="D60">
        <v>2</v>
      </c>
      <c r="E60">
        <v>5</v>
      </c>
      <c r="F60">
        <v>2</v>
      </c>
      <c r="G60" s="9">
        <f>SUM(E60:F60)</f>
        <v>7</v>
      </c>
      <c r="H60" s="14">
        <f>G60/$G$86*100</f>
        <v>3.225806451612903</v>
      </c>
      <c r="I60" s="9">
        <f>'2009'!C58+'2010'!C65+'2011'!C60</f>
        <v>8</v>
      </c>
      <c r="J60" s="9">
        <f>'2009'!G58+'2010'!G65+'2011'!G60</f>
        <v>42</v>
      </c>
      <c r="K60" s="14">
        <f t="shared" si="1"/>
        <v>3.5897435897435894</v>
      </c>
    </row>
    <row r="61" spans="1:11" ht="12.75">
      <c r="A61" t="s">
        <v>452</v>
      </c>
      <c r="B61" t="s">
        <v>365</v>
      </c>
      <c r="H61" s="14"/>
      <c r="I61" s="9">
        <f>'2007'!C47+'2008'!C52</f>
        <v>5</v>
      </c>
      <c r="J61" s="9">
        <f>'2007'!G47+'2008'!G52</f>
        <v>43</v>
      </c>
      <c r="K61" s="14">
        <f t="shared" si="1"/>
        <v>3.6752136752136755</v>
      </c>
    </row>
    <row r="62" spans="1:11" ht="12.75">
      <c r="A62" t="s">
        <v>612</v>
      </c>
      <c r="B62" t="s">
        <v>613</v>
      </c>
      <c r="H62" s="14"/>
      <c r="I62" s="9">
        <f>'2010'!C67</f>
        <v>1</v>
      </c>
      <c r="J62" s="9">
        <f>'2010'!G67</f>
        <v>5</v>
      </c>
      <c r="K62" s="14">
        <f t="shared" si="1"/>
        <v>0.4273504273504274</v>
      </c>
    </row>
    <row r="63" spans="1:11" ht="12.75">
      <c r="A63" t="s">
        <v>614</v>
      </c>
      <c r="B63" t="s">
        <v>615</v>
      </c>
      <c r="H63" s="14"/>
      <c r="I63" s="9">
        <f>'2010'!C68</f>
        <v>1</v>
      </c>
      <c r="J63" s="9">
        <f>'2010'!G68</f>
        <v>6</v>
      </c>
      <c r="K63" s="14">
        <f t="shared" si="1"/>
        <v>0.5128205128205128</v>
      </c>
    </row>
    <row r="64" spans="1:11" ht="12.75">
      <c r="A64" t="s">
        <v>502</v>
      </c>
      <c r="C64" s="9">
        <f>SUM(C3:C63)</f>
        <v>32</v>
      </c>
      <c r="E64" s="9">
        <f>SUM(E3:E61)</f>
        <v>91</v>
      </c>
      <c r="F64" s="9">
        <f>SUM(F3:F61)</f>
        <v>64</v>
      </c>
      <c r="G64" s="9">
        <f>SUM(G3:G63)</f>
        <v>155</v>
      </c>
      <c r="H64" s="14">
        <f>G64/$G$86*100</f>
        <v>71.42857142857143</v>
      </c>
      <c r="J64" s="9">
        <f>SUM(J3:J63)</f>
        <v>975</v>
      </c>
      <c r="K64" s="14">
        <f t="shared" si="1"/>
        <v>83.33333333333334</v>
      </c>
    </row>
    <row r="65" spans="8:11" ht="12.75">
      <c r="H65" s="14"/>
      <c r="K65" s="14"/>
    </row>
    <row r="66" spans="8:11" ht="12.75">
      <c r="H66" s="14"/>
      <c r="K66" s="14"/>
    </row>
    <row r="67" spans="1:11" ht="12.75">
      <c r="A67" t="s">
        <v>526</v>
      </c>
      <c r="B67" t="s">
        <v>527</v>
      </c>
      <c r="H67" s="14"/>
      <c r="I67" s="9">
        <f>'2007'!C54</f>
        <v>1</v>
      </c>
      <c r="J67" s="9">
        <f>'2007'!G54</f>
        <v>2</v>
      </c>
      <c r="K67" s="14">
        <f aca="true" t="shared" si="2" ref="K67:K85">J67/$J$86*100</f>
        <v>0.17094017094017094</v>
      </c>
    </row>
    <row r="68" spans="1:11" ht="12.75">
      <c r="A68" t="s">
        <v>590</v>
      </c>
      <c r="B68" t="s">
        <v>591</v>
      </c>
      <c r="H68" s="14"/>
      <c r="I68" s="9">
        <f>'2009'!C65+'2010'!C74</f>
        <v>2</v>
      </c>
      <c r="J68" s="9">
        <f>'2009'!G65+'2010'!G74</f>
        <v>8</v>
      </c>
      <c r="K68" s="14">
        <f t="shared" si="2"/>
        <v>0.6837606837606838</v>
      </c>
    </row>
    <row r="69" spans="1:11" ht="12.75">
      <c r="A69" t="s">
        <v>103</v>
      </c>
      <c r="B69" t="s">
        <v>592</v>
      </c>
      <c r="H69" s="14"/>
      <c r="I69" s="9">
        <f>'2009'!C66</f>
        <v>1</v>
      </c>
      <c r="J69" s="9">
        <f>'2009'!G66</f>
        <v>7</v>
      </c>
      <c r="K69" s="14">
        <f t="shared" si="2"/>
        <v>0.5982905982905984</v>
      </c>
    </row>
    <row r="70" spans="1:11" ht="12.75">
      <c r="A70" t="s">
        <v>593</v>
      </c>
      <c r="B70" t="s">
        <v>594</v>
      </c>
      <c r="C70">
        <v>1</v>
      </c>
      <c r="E70">
        <v>4</v>
      </c>
      <c r="F70">
        <v>4</v>
      </c>
      <c r="G70" s="9">
        <f>E70+F70</f>
        <v>8</v>
      </c>
      <c r="H70" s="14">
        <f>G70/$G$86*100</f>
        <v>3.686635944700461</v>
      </c>
      <c r="I70" s="9">
        <f>'2009'!C67+'2011'!C70</f>
        <v>3</v>
      </c>
      <c r="J70" s="9">
        <f>'2009'!G67+'2011'!G70</f>
        <v>20</v>
      </c>
      <c r="K70" s="14">
        <f t="shared" si="2"/>
        <v>1.7094017094017095</v>
      </c>
    </row>
    <row r="71" spans="1:11" ht="12.75">
      <c r="A71" t="s">
        <v>528</v>
      </c>
      <c r="B71" t="s">
        <v>529</v>
      </c>
      <c r="H71" s="14"/>
      <c r="I71" s="9">
        <f>'2007'!C58+'2009'!C69</f>
        <v>2</v>
      </c>
      <c r="J71" s="9">
        <f>'2007'!G58+'2009'!G69</f>
        <v>10</v>
      </c>
      <c r="K71" s="14">
        <f t="shared" si="2"/>
        <v>0.8547008547008548</v>
      </c>
    </row>
    <row r="72" spans="1:11" ht="12.75">
      <c r="A72" t="s">
        <v>503</v>
      </c>
      <c r="B72" t="s">
        <v>504</v>
      </c>
      <c r="C72">
        <v>3</v>
      </c>
      <c r="E72">
        <v>14</v>
      </c>
      <c r="F72">
        <v>15</v>
      </c>
      <c r="G72" s="9">
        <f>SUM(E72:F72)</f>
        <v>29</v>
      </c>
      <c r="H72" s="14">
        <f>G72/$G$86*100</f>
        <v>13.36405529953917</v>
      </c>
      <c r="I72" s="9">
        <f>'2007'!C59+'2008'!C63+'2009'!C70+'2010'!C79+'2011'!C72</f>
        <v>10</v>
      </c>
      <c r="J72" s="9">
        <f>'2007'!G59+'2008'!G63+'2009'!G70+'2010'!G79+'2011'!G72</f>
        <v>79</v>
      </c>
      <c r="K72" s="14">
        <f t="shared" si="2"/>
        <v>6.752136752136752</v>
      </c>
    </row>
    <row r="73" spans="1:11" ht="12.75">
      <c r="A73" t="s">
        <v>616</v>
      </c>
      <c r="B73" t="s">
        <v>617</v>
      </c>
      <c r="H73" s="14"/>
      <c r="I73" s="9">
        <f>'2010'!C80</f>
        <v>1</v>
      </c>
      <c r="J73" s="9">
        <f>'2010'!G80</f>
        <v>1</v>
      </c>
      <c r="K73" s="14">
        <f t="shared" si="2"/>
        <v>0.08547008547008547</v>
      </c>
    </row>
    <row r="74" spans="1:11" ht="12.75">
      <c r="A74" t="s">
        <v>602</v>
      </c>
      <c r="B74" t="s">
        <v>603</v>
      </c>
      <c r="C74" s="9">
        <f>+'2012'!C76</f>
        <v>1</v>
      </c>
      <c r="E74">
        <v>2</v>
      </c>
      <c r="F74">
        <v>5</v>
      </c>
      <c r="G74" s="9">
        <f>SUM(E74:F74)</f>
        <v>7</v>
      </c>
      <c r="H74" s="14">
        <f>G74/$G$86*100</f>
        <v>3.225806451612903</v>
      </c>
      <c r="I74" s="9">
        <f>C74</f>
        <v>1</v>
      </c>
      <c r="J74" s="9">
        <f>G74</f>
        <v>7</v>
      </c>
      <c r="K74" s="14">
        <f t="shared" si="2"/>
        <v>0.5982905982905984</v>
      </c>
    </row>
    <row r="75" spans="1:11" ht="12.75">
      <c r="A75" t="s">
        <v>618</v>
      </c>
      <c r="B75" t="s">
        <v>619</v>
      </c>
      <c r="H75" s="14"/>
      <c r="I75" s="9">
        <f>'2010'!C81</f>
        <v>1</v>
      </c>
      <c r="J75" s="9">
        <f>'2010'!G81</f>
        <v>1</v>
      </c>
      <c r="K75" s="14">
        <f t="shared" si="2"/>
        <v>0.08547008547008547</v>
      </c>
    </row>
    <row r="76" spans="1:11" ht="12.75">
      <c r="A76" t="s">
        <v>543</v>
      </c>
      <c r="B76" t="s">
        <v>544</v>
      </c>
      <c r="C76">
        <v>1</v>
      </c>
      <c r="E76">
        <v>6</v>
      </c>
      <c r="F76">
        <v>4</v>
      </c>
      <c r="G76" s="9">
        <f>SUM(E76:F76)</f>
        <v>10</v>
      </c>
      <c r="H76" s="14">
        <f>G76/$G$86*100</f>
        <v>4.6082949308755765</v>
      </c>
      <c r="I76" s="9">
        <f>C76</f>
        <v>1</v>
      </c>
      <c r="J76" s="9">
        <f>G76</f>
        <v>10</v>
      </c>
      <c r="K76" s="14">
        <f t="shared" si="2"/>
        <v>0.8547008547008548</v>
      </c>
    </row>
    <row r="77" spans="1:11" ht="12.75">
      <c r="A77" t="s">
        <v>545</v>
      </c>
      <c r="B77" t="s">
        <v>546</v>
      </c>
      <c r="H77" s="14"/>
      <c r="I77" s="9">
        <f>'2009'!C71</f>
        <v>1</v>
      </c>
      <c r="J77" s="9">
        <f>'2009'!G71</f>
        <v>6</v>
      </c>
      <c r="K77" s="14">
        <f t="shared" si="2"/>
        <v>0.5128205128205128</v>
      </c>
    </row>
    <row r="78" spans="1:11" ht="12.75">
      <c r="A78" t="s">
        <v>505</v>
      </c>
      <c r="B78" t="s">
        <v>506</v>
      </c>
      <c r="H78" s="14"/>
      <c r="I78" s="9">
        <f>'2007'!C61</f>
        <v>1</v>
      </c>
      <c r="J78" s="9">
        <f>'2007'!G61</f>
        <v>4</v>
      </c>
      <c r="K78" s="14">
        <f t="shared" si="2"/>
        <v>0.3418803418803419</v>
      </c>
    </row>
    <row r="79" spans="1:11" ht="12.75">
      <c r="A79" t="s">
        <v>419</v>
      </c>
      <c r="B79" t="s">
        <v>420</v>
      </c>
      <c r="H79" s="14"/>
      <c r="I79" s="9">
        <f>'2007'!C66</f>
        <v>1</v>
      </c>
      <c r="J79" s="9">
        <f>'2007'!G66</f>
        <v>9</v>
      </c>
      <c r="K79" s="14">
        <f t="shared" si="2"/>
        <v>0.7692307692307693</v>
      </c>
    </row>
    <row r="80" spans="1:11" ht="12.75">
      <c r="A80" t="s">
        <v>561</v>
      </c>
      <c r="B80" t="s">
        <v>562</v>
      </c>
      <c r="H80" s="14"/>
      <c r="I80" s="9">
        <f>'2008'!C70</f>
        <v>1</v>
      </c>
      <c r="J80" s="9">
        <f>'2008'!G70</f>
        <v>1</v>
      </c>
      <c r="K80" s="14">
        <f t="shared" si="2"/>
        <v>0.08547008547008547</v>
      </c>
    </row>
    <row r="81" spans="1:11" ht="12" customHeight="1">
      <c r="A81" t="s">
        <v>595</v>
      </c>
      <c r="B81" t="s">
        <v>596</v>
      </c>
      <c r="C81">
        <v>1</v>
      </c>
      <c r="E81">
        <v>2</v>
      </c>
      <c r="F81">
        <v>1</v>
      </c>
      <c r="G81" s="9">
        <f>SUM(E81:F81)</f>
        <v>3</v>
      </c>
      <c r="H81" s="14">
        <f>G81/$G$86*100</f>
        <v>1.3824884792626728</v>
      </c>
      <c r="I81" s="9">
        <f>'2009'!C80+'2011'!C81</f>
        <v>2</v>
      </c>
      <c r="J81" s="9">
        <f>'2009'!G80+'2011'!G81</f>
        <v>4</v>
      </c>
      <c r="K81" s="14">
        <f t="shared" si="2"/>
        <v>0.3418803418803419</v>
      </c>
    </row>
    <row r="82" spans="1:11" ht="12.75">
      <c r="A82" t="s">
        <v>511</v>
      </c>
      <c r="C82" s="9">
        <f>SUM(C67:C81)</f>
        <v>7</v>
      </c>
      <c r="G82" s="9">
        <f>SUM(G67:G81)</f>
        <v>57</v>
      </c>
      <c r="H82" s="14">
        <f>G82/$G$86*100</f>
        <v>26.26728110599078</v>
      </c>
      <c r="J82" s="9">
        <f>SUM(J67:J81)</f>
        <v>169</v>
      </c>
      <c r="K82" s="14">
        <f t="shared" si="2"/>
        <v>14.444444444444443</v>
      </c>
    </row>
    <row r="83" spans="1:11" ht="12.75">
      <c r="A83" t="s">
        <v>531</v>
      </c>
      <c r="G83" s="9">
        <f>G64+G82</f>
        <v>212</v>
      </c>
      <c r="H83" s="14">
        <f>H64+H82</f>
        <v>97.6958525345622</v>
      </c>
      <c r="J83" s="9">
        <f>J64+J82</f>
        <v>1144</v>
      </c>
      <c r="K83" s="14">
        <f t="shared" si="2"/>
        <v>97.77777777777777</v>
      </c>
    </row>
    <row r="84" spans="8:11" ht="12.75">
      <c r="H84" s="14"/>
      <c r="K84" s="14">
        <f t="shared" si="2"/>
        <v>0</v>
      </c>
    </row>
    <row r="85" spans="1:11" ht="12.75">
      <c r="A85" t="s">
        <v>462</v>
      </c>
      <c r="E85">
        <v>2</v>
      </c>
      <c r="F85">
        <v>3</v>
      </c>
      <c r="G85">
        <v>5</v>
      </c>
      <c r="H85" s="14">
        <f>G85/$G$86*100</f>
        <v>2.3041474654377883</v>
      </c>
      <c r="J85" s="9">
        <f>'2007'!G73+'2008'!G76+'2009'!G85+'2010'!G96+'2011'!G85</f>
        <v>26</v>
      </c>
      <c r="K85" s="14">
        <f t="shared" si="2"/>
        <v>2.2222222222222223</v>
      </c>
    </row>
    <row r="86" spans="1:11" ht="12.75">
      <c r="A86" t="s">
        <v>533</v>
      </c>
      <c r="G86" s="9">
        <f>G83+G85</f>
        <v>217</v>
      </c>
      <c r="H86" s="14">
        <f>H85+H83</f>
        <v>100</v>
      </c>
      <c r="J86" s="9">
        <f>J83+J85</f>
        <v>1170</v>
      </c>
      <c r="K86" s="14"/>
    </row>
    <row r="87" ht="13.5" customHeight="1">
      <c r="K87" s="14"/>
    </row>
    <row r="89" spans="1:2" ht="12.75">
      <c r="A89" t="s">
        <v>6</v>
      </c>
      <c r="B89">
        <v>25</v>
      </c>
    </row>
    <row r="90" spans="1:2" ht="12.75">
      <c r="A90" t="s">
        <v>7</v>
      </c>
      <c r="B90" s="9">
        <f>C64+C82</f>
        <v>39</v>
      </c>
    </row>
    <row r="91" spans="1:2" ht="12.75">
      <c r="A91" t="s">
        <v>563</v>
      </c>
      <c r="B91" s="9">
        <f>4*(B89*B90)/(B89+B90)</f>
        <v>60.9375</v>
      </c>
    </row>
    <row r="93" spans="1:2" ht="12.75">
      <c r="A93" t="s">
        <v>564</v>
      </c>
      <c r="B93" s="9">
        <f>(B91/B90)*50</f>
        <v>78.125</v>
      </c>
    </row>
    <row r="96" ht="12.75">
      <c r="A96" t="s">
        <v>534</v>
      </c>
    </row>
    <row r="98" spans="1:2" ht="12.75">
      <c r="A98" t="s">
        <v>6</v>
      </c>
      <c r="B98" s="9">
        <f>'2007'!B83+'2008'!B81+'2009'!B90+'2010'!B101+'2011'!B89</f>
        <v>130</v>
      </c>
    </row>
    <row r="99" spans="1:2" ht="12.75">
      <c r="A99" t="s">
        <v>7</v>
      </c>
      <c r="B99" s="9">
        <f>'2007'!B84+'2008'!B82+'2009'!B91+'2010'!B102+'2011'!B90</f>
        <v>189</v>
      </c>
    </row>
    <row r="100" spans="1:2" ht="12.75">
      <c r="A100" t="s">
        <v>563</v>
      </c>
      <c r="B100" s="9">
        <f>4*(B98*B99)/(B98+B99)</f>
        <v>308.08777429467085</v>
      </c>
    </row>
    <row r="102" spans="1:2" ht="12.75">
      <c r="A102" t="s">
        <v>564</v>
      </c>
      <c r="B102" s="9">
        <f>(B100/B99)*50</f>
        <v>81.50470219435736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3" sqref="B93"/>
    </sheetView>
  </sheetViews>
  <sheetFormatPr defaultColWidth="9.140625" defaultRowHeight="12.75"/>
  <cols>
    <col min="1" max="1" width="21.00390625" style="0" customWidth="1"/>
    <col min="2" max="2" width="12.57421875" style="0" customWidth="1"/>
    <col min="5" max="5" width="10.7109375" style="0" customWidth="1"/>
    <col min="6" max="6" width="10.140625" style="0" customWidth="1"/>
    <col min="8" max="8" width="11.28125" style="14" customWidth="1"/>
    <col min="12" max="12" width="11.7109375" style="0" customWidth="1"/>
  </cols>
  <sheetData>
    <row r="1" spans="1:12" ht="12.75" customHeight="1">
      <c r="A1" s="73" t="s">
        <v>0</v>
      </c>
      <c r="B1" s="74">
        <v>2012</v>
      </c>
      <c r="C1" s="106" t="s">
        <v>4</v>
      </c>
      <c r="D1" s="107" t="s">
        <v>368</v>
      </c>
      <c r="E1" s="106" t="s">
        <v>6</v>
      </c>
      <c r="F1" s="106" t="s">
        <v>7</v>
      </c>
      <c r="G1" s="73"/>
      <c r="H1" s="75"/>
      <c r="I1" s="106" t="s">
        <v>294</v>
      </c>
      <c r="J1" s="106" t="s">
        <v>295</v>
      </c>
      <c r="K1" s="106" t="s">
        <v>322</v>
      </c>
      <c r="L1" s="108" t="s">
        <v>13</v>
      </c>
    </row>
    <row r="2" spans="1:12" ht="34.5">
      <c r="A2" s="76" t="s">
        <v>431</v>
      </c>
      <c r="B2" s="76" t="s">
        <v>3</v>
      </c>
      <c r="C2" s="106"/>
      <c r="D2" s="107"/>
      <c r="E2" s="106"/>
      <c r="F2" s="106"/>
      <c r="G2" s="73" t="s">
        <v>8</v>
      </c>
      <c r="H2" s="75" t="s">
        <v>9</v>
      </c>
      <c r="I2" s="106"/>
      <c r="J2" s="106"/>
      <c r="K2" s="106"/>
      <c r="L2" s="108"/>
    </row>
    <row r="3" spans="1:11" ht="12.75">
      <c r="A3" t="s">
        <v>526</v>
      </c>
      <c r="B3" t="s">
        <v>527</v>
      </c>
      <c r="I3" s="9">
        <f>'2008'!C3+'2009'!C3+'2010'!C3</f>
        <v>5</v>
      </c>
      <c r="J3" s="9">
        <f>'2008'!G3+'2009'!G3</f>
        <v>27</v>
      </c>
      <c r="K3" s="14">
        <f aca="true" t="shared" si="0" ref="K3:K34">J3/$J$88*100</f>
        <v>2.278481012658228</v>
      </c>
    </row>
    <row r="4" spans="1:11" ht="12.75">
      <c r="A4" t="s">
        <v>598</v>
      </c>
      <c r="B4" t="s">
        <v>599</v>
      </c>
      <c r="I4" s="9">
        <f>'2010'!C4+'2011'!C4</f>
        <v>2</v>
      </c>
      <c r="J4" s="9">
        <f>'2010'!G4</f>
        <v>7</v>
      </c>
      <c r="K4" s="14">
        <f t="shared" si="0"/>
        <v>0.5907172995780591</v>
      </c>
    </row>
    <row r="5" spans="1:11" ht="12.75">
      <c r="A5" t="s">
        <v>516</v>
      </c>
      <c r="B5" t="s">
        <v>517</v>
      </c>
      <c r="I5" s="9">
        <f>'2008'!C5+'2009'!C4+'2011'!C5</f>
        <v>3</v>
      </c>
      <c r="J5" s="9">
        <f>'2008'!G5+'2012'!G5</f>
        <v>9</v>
      </c>
      <c r="K5" s="14">
        <f t="shared" si="0"/>
        <v>0.7594936708860759</v>
      </c>
    </row>
    <row r="6" spans="1:11" ht="12.75">
      <c r="A6" t="s">
        <v>635</v>
      </c>
      <c r="B6" t="s">
        <v>636</v>
      </c>
      <c r="C6">
        <v>1</v>
      </c>
      <c r="E6">
        <v>4</v>
      </c>
      <c r="F6">
        <v>3</v>
      </c>
      <c r="G6" s="9">
        <f>SUM(E6:F6)</f>
        <v>7</v>
      </c>
      <c r="H6" s="14">
        <f>G6/$G$88*100</f>
        <v>3.349282296650718</v>
      </c>
      <c r="I6" s="9">
        <f>C6</f>
        <v>1</v>
      </c>
      <c r="J6" s="9">
        <f>G6</f>
        <v>7</v>
      </c>
      <c r="K6" s="14">
        <f t="shared" si="0"/>
        <v>0.5907172995780591</v>
      </c>
    </row>
    <row r="7" spans="1:11" ht="12.75">
      <c r="A7" t="s">
        <v>565</v>
      </c>
      <c r="B7" t="s">
        <v>566</v>
      </c>
      <c r="I7" s="9">
        <f>'2009'!C6+'2012'!C7</f>
        <v>1</v>
      </c>
      <c r="J7" s="9">
        <f>'2009'!G6</f>
        <v>3</v>
      </c>
      <c r="K7" s="14">
        <f t="shared" si="0"/>
        <v>0.25316455696202533</v>
      </c>
    </row>
    <row r="8" spans="1:11" ht="12.75">
      <c r="A8" t="s">
        <v>518</v>
      </c>
      <c r="B8" t="s">
        <v>519</v>
      </c>
      <c r="I8" s="9">
        <f>'2009'!C7+'2010'!C8</f>
        <v>3</v>
      </c>
      <c r="J8" s="9">
        <f>'2009'!G7+'2010'!G8</f>
        <v>14</v>
      </c>
      <c r="K8" s="14">
        <f t="shared" si="0"/>
        <v>1.1814345991561181</v>
      </c>
    </row>
    <row r="9" spans="1:11" ht="12.75">
      <c r="A9" t="s">
        <v>520</v>
      </c>
      <c r="B9" t="s">
        <v>521</v>
      </c>
      <c r="I9" s="9">
        <f>'2008'!C9+'2009'!C9</f>
        <v>3</v>
      </c>
      <c r="J9" s="9">
        <f>'2008'!G9</f>
        <v>0</v>
      </c>
      <c r="K9" s="14">
        <f t="shared" si="0"/>
        <v>0</v>
      </c>
    </row>
    <row r="10" spans="1:11" ht="12.75">
      <c r="A10" t="s">
        <v>637</v>
      </c>
      <c r="B10" t="s">
        <v>638</v>
      </c>
      <c r="C10">
        <v>1</v>
      </c>
      <c r="D10">
        <v>1</v>
      </c>
      <c r="I10" s="9">
        <f>C10</f>
        <v>1</v>
      </c>
      <c r="J10" s="9">
        <f>G10</f>
        <v>0</v>
      </c>
      <c r="K10" s="14">
        <f t="shared" si="0"/>
        <v>0</v>
      </c>
    </row>
    <row r="11" spans="1:11" ht="12.75">
      <c r="A11" t="s">
        <v>600</v>
      </c>
      <c r="B11" t="s">
        <v>601</v>
      </c>
      <c r="C11">
        <v>1</v>
      </c>
      <c r="E11">
        <v>1</v>
      </c>
      <c r="F11">
        <v>1</v>
      </c>
      <c r="G11" s="9">
        <f>SUM(E11:F11)</f>
        <v>2</v>
      </c>
      <c r="H11" s="14">
        <f>G11/$G$88*100</f>
        <v>0.9569377990430622</v>
      </c>
      <c r="I11" s="9">
        <f>'2010'!C12+'2011'!C11+'2012'!C11</f>
        <v>6</v>
      </c>
      <c r="J11" s="9">
        <f>'2010'!G12+'2011'!G11+'2012'!G11</f>
        <v>14</v>
      </c>
      <c r="K11" s="14">
        <f t="shared" si="0"/>
        <v>1.1814345991561181</v>
      </c>
    </row>
    <row r="12" spans="1:11" ht="12.75">
      <c r="A12" t="s">
        <v>567</v>
      </c>
      <c r="B12" t="s">
        <v>568</v>
      </c>
      <c r="I12" s="9">
        <f>'2009'!C11</f>
        <v>1</v>
      </c>
      <c r="J12" s="9">
        <f>'2009'!G11</f>
        <v>10</v>
      </c>
      <c r="K12" s="14">
        <f t="shared" si="0"/>
        <v>0.8438818565400843</v>
      </c>
    </row>
    <row r="13" spans="1:11" ht="12.75">
      <c r="A13" t="s">
        <v>622</v>
      </c>
      <c r="B13" t="s">
        <v>623</v>
      </c>
      <c r="I13" s="9">
        <f>'2011'!C13</f>
        <v>1</v>
      </c>
      <c r="J13" s="9">
        <f>'2011'!G13</f>
        <v>7</v>
      </c>
      <c r="K13" s="14">
        <f t="shared" si="0"/>
        <v>0.5907172995780591</v>
      </c>
    </row>
    <row r="14" spans="1:11" ht="12.75">
      <c r="A14" t="s">
        <v>535</v>
      </c>
      <c r="B14" t="s">
        <v>536</v>
      </c>
      <c r="I14" s="9">
        <f>'2008'!C12+'2012'!C14</f>
        <v>2</v>
      </c>
      <c r="J14" s="9">
        <f>'2008'!G12</f>
        <v>7</v>
      </c>
      <c r="K14" s="14">
        <f t="shared" si="0"/>
        <v>0.5907172995780591</v>
      </c>
    </row>
    <row r="15" spans="1:11" ht="12.75">
      <c r="A15" t="s">
        <v>624</v>
      </c>
      <c r="B15" t="s">
        <v>625</v>
      </c>
      <c r="C15">
        <v>3</v>
      </c>
      <c r="D15">
        <v>1</v>
      </c>
      <c r="E15">
        <v>5</v>
      </c>
      <c r="F15">
        <v>9</v>
      </c>
      <c r="G15" s="9">
        <f>SUM(E15:F15)</f>
        <v>14</v>
      </c>
      <c r="H15" s="14">
        <f>G15/$G$88*100</f>
        <v>6.698564593301436</v>
      </c>
      <c r="I15" s="9">
        <f>'2011'!C15+'2012'!C15</f>
        <v>4</v>
      </c>
      <c r="J15" s="9">
        <f>'2011'!G15+'2012'!G15</f>
        <v>21</v>
      </c>
      <c r="K15" s="14">
        <f t="shared" si="0"/>
        <v>1.7721518987341773</v>
      </c>
    </row>
    <row r="16" spans="1:11" ht="12.75">
      <c r="A16" t="s">
        <v>537</v>
      </c>
      <c r="B16" t="s">
        <v>538</v>
      </c>
      <c r="I16" s="9">
        <f>'2012'!C11</f>
        <v>1</v>
      </c>
      <c r="J16" s="9">
        <f>G16</f>
        <v>0</v>
      </c>
      <c r="K16" s="14">
        <f t="shared" si="0"/>
        <v>0</v>
      </c>
    </row>
    <row r="17" spans="1:11" ht="12.75">
      <c r="A17" t="s">
        <v>602</v>
      </c>
      <c r="B17" t="s">
        <v>603</v>
      </c>
      <c r="C17">
        <v>1</v>
      </c>
      <c r="E17">
        <v>0</v>
      </c>
      <c r="F17">
        <v>1</v>
      </c>
      <c r="G17" s="9">
        <f>SUM(E17:F17)</f>
        <v>1</v>
      </c>
      <c r="H17" s="14">
        <f>G17/$G$88*100</f>
        <v>0.4784688995215311</v>
      </c>
      <c r="I17" s="9">
        <f>'2010'!C16+'2011'!C17+'2012'!C17</f>
        <v>7</v>
      </c>
      <c r="J17" s="9">
        <f>'2010'!G16+'2011'!G17+'2012'!G17</f>
        <v>27</v>
      </c>
      <c r="K17" s="14">
        <f t="shared" si="0"/>
        <v>2.278481012658228</v>
      </c>
    </row>
    <row r="18" spans="1:11" ht="12.75">
      <c r="A18" t="s">
        <v>569</v>
      </c>
      <c r="B18" t="s">
        <v>570</v>
      </c>
      <c r="I18" s="9">
        <f>'2009'!C14+'2010'!C17</f>
        <v>2</v>
      </c>
      <c r="J18" s="9">
        <f>'2009'!G14+'2010'!G17</f>
        <v>12</v>
      </c>
      <c r="K18" s="14">
        <f t="shared" si="0"/>
        <v>1.0126582278481013</v>
      </c>
    </row>
    <row r="19" spans="1:11" ht="12.75">
      <c r="A19" t="s">
        <v>468</v>
      </c>
      <c r="B19" t="s">
        <v>469</v>
      </c>
      <c r="I19" s="9">
        <f>'2008'!C14+'2012'!C19</f>
        <v>1</v>
      </c>
      <c r="J19" s="9">
        <f>'2008'!G14</f>
        <v>10</v>
      </c>
      <c r="K19" s="14">
        <f t="shared" si="0"/>
        <v>0.8438818565400843</v>
      </c>
    </row>
    <row r="20" spans="1:11" ht="12.75">
      <c r="A20" t="s">
        <v>571</v>
      </c>
      <c r="B20" t="s">
        <v>572</v>
      </c>
      <c r="C20">
        <v>1</v>
      </c>
      <c r="E20">
        <v>4</v>
      </c>
      <c r="F20">
        <v>5</v>
      </c>
      <c r="G20" s="9">
        <f>SUM(E20:F20)</f>
        <v>9</v>
      </c>
      <c r="H20" s="14">
        <f>G20/$G$88*100</f>
        <v>4.30622009569378</v>
      </c>
      <c r="I20" s="9">
        <f>'2009'!C16+'2012'!C20</f>
        <v>2</v>
      </c>
      <c r="J20" s="9">
        <f>'2009'!G16+'2012'!G20</f>
        <v>19</v>
      </c>
      <c r="K20" s="14">
        <f t="shared" si="0"/>
        <v>1.6033755274261603</v>
      </c>
    </row>
    <row r="21" spans="1:11" ht="12.75">
      <c r="A21" t="s">
        <v>539</v>
      </c>
      <c r="B21" t="s">
        <v>540</v>
      </c>
      <c r="I21" s="9">
        <f>'2008'!C15+'2009'!C17+'2012'!C21</f>
        <v>5</v>
      </c>
      <c r="J21" s="9">
        <f>'2008'!G15+'2012'!G15</f>
        <v>28</v>
      </c>
      <c r="K21" s="14">
        <f t="shared" si="0"/>
        <v>2.3628691983122363</v>
      </c>
    </row>
    <row r="22" spans="1:11" ht="12.75">
      <c r="A22" t="s">
        <v>541</v>
      </c>
      <c r="B22" t="s">
        <v>542</v>
      </c>
      <c r="I22" s="9">
        <f>'2008'!C16+'2009'!C18+'2012'!C19</f>
        <v>3</v>
      </c>
      <c r="J22" s="9">
        <f>'2009'!G18+'2010'!G21</f>
        <v>24</v>
      </c>
      <c r="K22" s="14">
        <f t="shared" si="0"/>
        <v>2.0253164556962027</v>
      </c>
    </row>
    <row r="23" spans="1:11" ht="12.75">
      <c r="A23" t="s">
        <v>487</v>
      </c>
      <c r="B23" t="s">
        <v>438</v>
      </c>
      <c r="I23" s="9">
        <f>'2009'!C19+'2012'!C23</f>
        <v>1</v>
      </c>
      <c r="J23" s="9">
        <f>'2009'!G19</f>
        <v>4</v>
      </c>
      <c r="K23" s="14">
        <f t="shared" si="0"/>
        <v>0.33755274261603374</v>
      </c>
    </row>
    <row r="24" spans="1:11" ht="12.75">
      <c r="A24" t="s">
        <v>573</v>
      </c>
      <c r="B24" t="s">
        <v>574</v>
      </c>
      <c r="I24" s="9">
        <f>'2009'!C21+'2010'!C24+'2012'!C24</f>
        <v>4</v>
      </c>
      <c r="J24" s="9">
        <f>'2009'!G21+'2010'!G24</f>
        <v>28</v>
      </c>
      <c r="K24" s="14">
        <f t="shared" si="0"/>
        <v>2.3628691983122363</v>
      </c>
    </row>
    <row r="25" spans="1:11" ht="12.75">
      <c r="A25" t="s">
        <v>639</v>
      </c>
      <c r="B25" t="s">
        <v>640</v>
      </c>
      <c r="C25">
        <v>3</v>
      </c>
      <c r="E25">
        <v>9</v>
      </c>
      <c r="F25">
        <v>13</v>
      </c>
      <c r="G25" s="9">
        <f>SUM(E25:F25)</f>
        <v>22</v>
      </c>
      <c r="H25" s="14">
        <f>G25/$G$88*100</f>
        <v>10.526315789473683</v>
      </c>
      <c r="I25" s="9">
        <f>C25</f>
        <v>3</v>
      </c>
      <c r="J25" s="9">
        <f>G25</f>
        <v>22</v>
      </c>
      <c r="K25" s="14">
        <f t="shared" si="0"/>
        <v>1.8565400843881856</v>
      </c>
    </row>
    <row r="26" spans="1:11" ht="12.75">
      <c r="A26" t="s">
        <v>641</v>
      </c>
      <c r="B26" t="s">
        <v>642</v>
      </c>
      <c r="C26">
        <v>3</v>
      </c>
      <c r="D26">
        <v>1</v>
      </c>
      <c r="E26">
        <v>8</v>
      </c>
      <c r="F26">
        <v>10</v>
      </c>
      <c r="G26" s="9">
        <f>SUM(E26:F26)</f>
        <v>18</v>
      </c>
      <c r="H26" s="14">
        <f>G26/$G$88*100</f>
        <v>8.61244019138756</v>
      </c>
      <c r="I26" s="9">
        <f>C26</f>
        <v>3</v>
      </c>
      <c r="J26" s="9">
        <f>G26</f>
        <v>18</v>
      </c>
      <c r="K26" s="14">
        <f t="shared" si="0"/>
        <v>1.5189873417721518</v>
      </c>
    </row>
    <row r="27" spans="1:11" ht="12.75">
      <c r="A27" t="s">
        <v>543</v>
      </c>
      <c r="B27" t="s">
        <v>544</v>
      </c>
      <c r="I27" s="9">
        <f>'2008'!C20+'2009'!C23+'2010'!C26+'2011'!C26</f>
        <v>8</v>
      </c>
      <c r="J27" s="9">
        <f>'2008'!G20+'2009'!G23+'2010'!G26+'2011'!G26</f>
        <v>59</v>
      </c>
      <c r="K27" s="69">
        <f t="shared" si="0"/>
        <v>4.9789029535864975</v>
      </c>
    </row>
    <row r="28" spans="1:11" ht="12.75">
      <c r="A28" t="s">
        <v>575</v>
      </c>
      <c r="B28" t="s">
        <v>576</v>
      </c>
      <c r="I28" s="9">
        <f>'2009'!C24</f>
        <v>1</v>
      </c>
      <c r="J28" s="9">
        <f>'2009'!G24</f>
        <v>9</v>
      </c>
      <c r="K28" s="14">
        <f t="shared" si="0"/>
        <v>0.7594936708860759</v>
      </c>
    </row>
    <row r="29" spans="1:11" ht="12.75">
      <c r="A29" t="s">
        <v>604</v>
      </c>
      <c r="B29" t="s">
        <v>605</v>
      </c>
      <c r="I29" s="9">
        <f>'2010'!C28+'2011'!C28</f>
        <v>3</v>
      </c>
      <c r="J29" s="9">
        <f>'2010'!G28+'2011'!G28</f>
        <v>16</v>
      </c>
      <c r="K29" s="14">
        <f t="shared" si="0"/>
        <v>1.350210970464135</v>
      </c>
    </row>
    <row r="30" spans="1:11" ht="12.75">
      <c r="A30" t="s">
        <v>643</v>
      </c>
      <c r="B30" t="s">
        <v>644</v>
      </c>
      <c r="C30">
        <v>2</v>
      </c>
      <c r="E30">
        <v>8</v>
      </c>
      <c r="F30">
        <v>7</v>
      </c>
      <c r="G30" s="9">
        <f>SUM(E30:F30)</f>
        <v>15</v>
      </c>
      <c r="H30" s="14">
        <f>G30/$G$88*100</f>
        <v>7.177033492822966</v>
      </c>
      <c r="I30" s="9">
        <f>C30</f>
        <v>2</v>
      </c>
      <c r="J30" s="9">
        <f>G30</f>
        <v>15</v>
      </c>
      <c r="K30" s="14">
        <f t="shared" si="0"/>
        <v>1.2658227848101267</v>
      </c>
    </row>
    <row r="31" spans="1:11" ht="12.75">
      <c r="A31" t="s">
        <v>545</v>
      </c>
      <c r="B31" t="s">
        <v>546</v>
      </c>
      <c r="I31" s="9">
        <f>'2008'!C21+'2009'!C25</f>
        <v>3</v>
      </c>
      <c r="J31" s="9">
        <f>'2008'!G21+'2009'!G25</f>
        <v>18</v>
      </c>
      <c r="K31" s="14">
        <f t="shared" si="0"/>
        <v>1.5189873417721518</v>
      </c>
    </row>
    <row r="32" spans="1:11" ht="12.75">
      <c r="A32" t="s">
        <v>408</v>
      </c>
      <c r="B32" t="s">
        <v>377</v>
      </c>
      <c r="I32" s="9">
        <f>'2008'!C22</f>
        <v>1</v>
      </c>
      <c r="J32" s="9">
        <f>'2008'!G22</f>
        <v>8</v>
      </c>
      <c r="K32" s="14">
        <f t="shared" si="0"/>
        <v>0.6751054852320675</v>
      </c>
    </row>
    <row r="33" spans="1:11" ht="12.75">
      <c r="A33" t="s">
        <v>492</v>
      </c>
      <c r="B33" t="s">
        <v>493</v>
      </c>
      <c r="I33" s="9">
        <f>'2009'!C27+'2012'!C33</f>
        <v>4</v>
      </c>
      <c r="J33" s="9">
        <f>'2009'!G27</f>
        <v>26</v>
      </c>
      <c r="K33" s="14">
        <f t="shared" si="0"/>
        <v>2.1940928270042197</v>
      </c>
    </row>
    <row r="34" spans="1:11" ht="12.75">
      <c r="A34" t="s">
        <v>606</v>
      </c>
      <c r="B34" t="s">
        <v>607</v>
      </c>
      <c r="C34">
        <v>2</v>
      </c>
      <c r="D34">
        <v>1</v>
      </c>
      <c r="E34">
        <v>3</v>
      </c>
      <c r="F34">
        <v>8</v>
      </c>
      <c r="G34" s="9">
        <f>SUM(E34:F34)</f>
        <v>11</v>
      </c>
      <c r="H34" s="14">
        <f>G34/$G$88*100</f>
        <v>5.263157894736842</v>
      </c>
      <c r="I34" s="9">
        <f>'2010'!C32+'2011'!C32+C34</f>
        <v>4</v>
      </c>
      <c r="J34" s="9">
        <f>'2010'!G32+'2011'!G32+'2012'!G34</f>
        <v>26</v>
      </c>
      <c r="K34" s="14">
        <f t="shared" si="0"/>
        <v>2.1940928270042197</v>
      </c>
    </row>
    <row r="35" spans="1:11" ht="12.75">
      <c r="A35" t="s">
        <v>496</v>
      </c>
      <c r="B35" t="s">
        <v>497</v>
      </c>
      <c r="I35" s="9">
        <f>'2008'!C26+'2010'!C35+'2011'!C34+'2012'!C35</f>
        <v>3</v>
      </c>
      <c r="J35" s="9">
        <f>'2010'!G35+'2011'!G34</f>
        <v>10</v>
      </c>
      <c r="K35" s="14">
        <f aca="true" t="shared" si="1" ref="K35:K66">J35/$J$88*100</f>
        <v>0.8438818565400843</v>
      </c>
    </row>
    <row r="36" spans="1:11" ht="12.75">
      <c r="A36" t="s">
        <v>498</v>
      </c>
      <c r="B36" t="s">
        <v>499</v>
      </c>
      <c r="I36" s="9">
        <f>'2008'!C27</f>
        <v>2</v>
      </c>
      <c r="J36" s="9">
        <f>'2008'!G27</f>
        <v>10</v>
      </c>
      <c r="K36" s="14">
        <f t="shared" si="1"/>
        <v>0.8438818565400843</v>
      </c>
    </row>
    <row r="37" spans="1:11" ht="12.75">
      <c r="A37" t="s">
        <v>626</v>
      </c>
      <c r="B37" t="s">
        <v>627</v>
      </c>
      <c r="I37" s="9">
        <f>'2011'!C36</f>
        <v>1</v>
      </c>
      <c r="J37" s="9">
        <f>'2011'!G36</f>
        <v>5</v>
      </c>
      <c r="K37" s="14">
        <f t="shared" si="1"/>
        <v>0.42194092827004215</v>
      </c>
    </row>
    <row r="38" spans="1:11" ht="12.75">
      <c r="A38" t="s">
        <v>645</v>
      </c>
      <c r="B38" t="s">
        <v>646</v>
      </c>
      <c r="C38">
        <v>1</v>
      </c>
      <c r="E38">
        <v>5</v>
      </c>
      <c r="F38">
        <v>2</v>
      </c>
      <c r="G38" s="9">
        <f>SUM(E38:F38)</f>
        <v>7</v>
      </c>
      <c r="H38" s="14">
        <f>G38/$G$88*100</f>
        <v>3.349282296650718</v>
      </c>
      <c r="I38" s="9">
        <f>C38</f>
        <v>1</v>
      </c>
      <c r="J38" s="9">
        <f>G38</f>
        <v>7</v>
      </c>
      <c r="K38" s="14">
        <f t="shared" si="1"/>
        <v>0.5907172995780591</v>
      </c>
    </row>
    <row r="39" spans="1:11" ht="12.75">
      <c r="A39" t="s">
        <v>628</v>
      </c>
      <c r="B39" t="s">
        <v>609</v>
      </c>
      <c r="I39" s="9">
        <f>'2010'!C37</f>
        <v>1</v>
      </c>
      <c r="J39" s="9">
        <f>'2010'!G37</f>
        <v>7</v>
      </c>
      <c r="K39" s="14">
        <f t="shared" si="1"/>
        <v>0.5907172995780591</v>
      </c>
    </row>
    <row r="40" spans="1:11" ht="12.75">
      <c r="A40" t="s">
        <v>577</v>
      </c>
      <c r="B40" t="s">
        <v>578</v>
      </c>
      <c r="I40" s="9">
        <f>'2009'!C32</f>
        <v>1</v>
      </c>
      <c r="J40" s="9">
        <f>'2009'!G32</f>
        <v>7</v>
      </c>
      <c r="K40" s="14">
        <f t="shared" si="1"/>
        <v>0.5907172995780591</v>
      </c>
    </row>
    <row r="41" spans="1:11" ht="12.75">
      <c r="A41" t="s">
        <v>629</v>
      </c>
      <c r="B41" t="s">
        <v>630</v>
      </c>
      <c r="I41" s="9">
        <f>'2011'!C39</f>
        <v>2</v>
      </c>
      <c r="J41" s="9">
        <f>'2011'!G39</f>
        <v>11</v>
      </c>
      <c r="K41" s="14">
        <f t="shared" si="1"/>
        <v>0.9282700421940928</v>
      </c>
    </row>
    <row r="42" spans="1:11" ht="12.75">
      <c r="A42" t="s">
        <v>579</v>
      </c>
      <c r="B42" t="s">
        <v>580</v>
      </c>
      <c r="I42" s="9">
        <f>'2009'!C34</f>
        <v>1</v>
      </c>
      <c r="J42" s="9">
        <f>'2009'!G34</f>
        <v>11</v>
      </c>
      <c r="K42" s="14">
        <f t="shared" si="1"/>
        <v>0.9282700421940928</v>
      </c>
    </row>
    <row r="43" spans="1:11" ht="12.75">
      <c r="A43" t="s">
        <v>610</v>
      </c>
      <c r="B43" t="s">
        <v>611</v>
      </c>
      <c r="I43" s="9">
        <f>'2010'!C41</f>
        <v>1</v>
      </c>
      <c r="J43" s="9">
        <f>'2010'!G41</f>
        <v>10</v>
      </c>
      <c r="K43" s="14">
        <f t="shared" si="1"/>
        <v>0.8438818565400843</v>
      </c>
    </row>
    <row r="44" spans="1:11" ht="12.75">
      <c r="A44" t="s">
        <v>225</v>
      </c>
      <c r="B44" t="s">
        <v>581</v>
      </c>
      <c r="I44" s="9">
        <f>'2009'!C38+'2010'!C45+'2011'!C43+'2012'!C44</f>
        <v>4</v>
      </c>
      <c r="J44" s="9">
        <f>'2009'!G38+'2010'!G45+'2011'!G43</f>
        <v>32</v>
      </c>
      <c r="K44" s="14">
        <f t="shared" si="1"/>
        <v>2.70042194092827</v>
      </c>
    </row>
    <row r="45" spans="1:11" ht="12.75">
      <c r="A45" t="s">
        <v>647</v>
      </c>
      <c r="B45" t="s">
        <v>648</v>
      </c>
      <c r="C45">
        <v>1</v>
      </c>
      <c r="E45">
        <v>5</v>
      </c>
      <c r="F45">
        <v>2</v>
      </c>
      <c r="G45" s="9">
        <f>SUM(E45:F45)</f>
        <v>7</v>
      </c>
      <c r="H45" s="14">
        <f>G45/$G$88*100</f>
        <v>3.349282296650718</v>
      </c>
      <c r="I45" s="9">
        <f>C45</f>
        <v>1</v>
      </c>
      <c r="J45" s="9">
        <f>G45</f>
        <v>7</v>
      </c>
      <c r="K45" s="14">
        <f t="shared" si="1"/>
        <v>0.5907172995780591</v>
      </c>
    </row>
    <row r="46" spans="1:11" ht="12.75">
      <c r="A46" t="s">
        <v>547</v>
      </c>
      <c r="B46" t="s">
        <v>548</v>
      </c>
      <c r="C46">
        <v>1</v>
      </c>
      <c r="E46">
        <v>4</v>
      </c>
      <c r="F46">
        <v>1</v>
      </c>
      <c r="G46" s="9">
        <f>SUM(E46:F46)</f>
        <v>5</v>
      </c>
      <c r="H46" s="14">
        <f>G46/$G$88*100</f>
        <v>2.3923444976076556</v>
      </c>
      <c r="I46" s="9">
        <f>'2008'!C34+'2009'!C39+'2010'!C46+'2011'!C44+'2012'!C46</f>
        <v>5</v>
      </c>
      <c r="J46" s="9">
        <f>'2008'!G34+'2009'!G39+'2010'!G46+'2011'!G44+'2012'!G46</f>
        <v>39</v>
      </c>
      <c r="K46" s="14">
        <f t="shared" si="1"/>
        <v>3.2911392405063293</v>
      </c>
    </row>
    <row r="47" spans="1:11" ht="12.75">
      <c r="A47" t="s">
        <v>549</v>
      </c>
      <c r="B47" t="s">
        <v>550</v>
      </c>
      <c r="I47" s="9">
        <f>'2008'!C35+'2009'!C40+'2010'!C47+'2012'!C47</f>
        <v>3</v>
      </c>
      <c r="J47" s="9">
        <f>'2008'!G35+'2009'!G40+'2010'!G47</f>
        <v>18</v>
      </c>
      <c r="K47" s="14">
        <f t="shared" si="1"/>
        <v>1.5189873417721518</v>
      </c>
    </row>
    <row r="48" spans="1:11" ht="12.75">
      <c r="A48" t="s">
        <v>631</v>
      </c>
      <c r="B48" t="s">
        <v>632</v>
      </c>
      <c r="C48">
        <v>1</v>
      </c>
      <c r="E48">
        <v>4</v>
      </c>
      <c r="F48">
        <v>4</v>
      </c>
      <c r="G48" s="9">
        <f>SUM(E48:F48)</f>
        <v>8</v>
      </c>
      <c r="H48" s="14">
        <f>G48/$G$88*100</f>
        <v>3.827751196172249</v>
      </c>
      <c r="I48" s="9">
        <f>'2011'!C46+'2012'!C48</f>
        <v>4</v>
      </c>
      <c r="J48" s="9">
        <f>'2011'!G46+'2012'!G48</f>
        <v>29</v>
      </c>
      <c r="K48" s="14">
        <f t="shared" si="1"/>
        <v>2.447257383966245</v>
      </c>
    </row>
    <row r="49" spans="1:11" ht="12.75">
      <c r="A49" t="s">
        <v>551</v>
      </c>
      <c r="B49" t="s">
        <v>552</v>
      </c>
      <c r="I49" s="9">
        <f>'2008'!C38+'2012'!C49</f>
        <v>1</v>
      </c>
      <c r="J49" s="9">
        <f>'2008'!G38</f>
        <v>6</v>
      </c>
      <c r="K49" s="14">
        <f t="shared" si="1"/>
        <v>0.5063291139240507</v>
      </c>
    </row>
    <row r="50" spans="1:11" ht="12.75">
      <c r="A50" t="s">
        <v>582</v>
      </c>
      <c r="B50" t="s">
        <v>583</v>
      </c>
      <c r="I50" s="9">
        <f>'2009'!C43</f>
        <v>1</v>
      </c>
      <c r="J50" s="9">
        <f>'2009'!G43</f>
        <v>2</v>
      </c>
      <c r="K50" s="14">
        <f t="shared" si="1"/>
        <v>0.16877637130801687</v>
      </c>
    </row>
    <row r="51" spans="1:11" ht="12.75">
      <c r="A51" t="s">
        <v>553</v>
      </c>
      <c r="B51" t="s">
        <v>554</v>
      </c>
      <c r="I51" s="9">
        <f>'2008'!C39</f>
        <v>2</v>
      </c>
      <c r="J51" s="9">
        <f>'2008'!G39</f>
        <v>1</v>
      </c>
      <c r="K51" s="14">
        <f t="shared" si="1"/>
        <v>0.08438818565400844</v>
      </c>
    </row>
    <row r="52" spans="1:11" ht="12.75">
      <c r="A52" t="s">
        <v>555</v>
      </c>
      <c r="B52" t="s">
        <v>556</v>
      </c>
      <c r="I52" s="9">
        <f>'2008'!C40+'2010'!C52+'2011'!C50+'2012'!C52</f>
        <v>5</v>
      </c>
      <c r="J52" s="9">
        <f>'2008'!G40+'2010'!G52+'2011'!G50</f>
        <v>32</v>
      </c>
      <c r="K52" s="14">
        <f t="shared" si="1"/>
        <v>2.70042194092827</v>
      </c>
    </row>
    <row r="53" spans="1:11" ht="12.75">
      <c r="A53" t="s">
        <v>500</v>
      </c>
      <c r="B53" t="s">
        <v>358</v>
      </c>
      <c r="I53" s="9">
        <f>'2008'!C43</f>
        <v>1</v>
      </c>
      <c r="J53" s="9">
        <f>'2008'!G43</f>
        <v>7</v>
      </c>
      <c r="K53" s="14">
        <f t="shared" si="1"/>
        <v>0.5907172995780591</v>
      </c>
    </row>
    <row r="54" spans="1:11" ht="12.75">
      <c r="A54" t="s">
        <v>501</v>
      </c>
      <c r="B54" t="s">
        <v>423</v>
      </c>
      <c r="I54" s="9">
        <f>'2010'!C56+'2011'!C52</f>
        <v>3</v>
      </c>
      <c r="J54" s="9">
        <f>'2010'!G56+'2011'!G52</f>
        <v>8</v>
      </c>
      <c r="K54" s="14">
        <f t="shared" si="1"/>
        <v>0.6751054852320675</v>
      </c>
    </row>
    <row r="55" spans="1:11" ht="12.75">
      <c r="A55" t="s">
        <v>557</v>
      </c>
      <c r="B55" t="s">
        <v>558</v>
      </c>
      <c r="I55" s="9">
        <f>'2008'!C45+'2012'!C55</f>
        <v>3</v>
      </c>
      <c r="J55" s="9">
        <f>'2008'!G45</f>
        <v>21</v>
      </c>
      <c r="K55" s="14">
        <f t="shared" si="1"/>
        <v>1.7721518987341773</v>
      </c>
    </row>
    <row r="56" spans="1:11" ht="12.75">
      <c r="A56" t="s">
        <v>473</v>
      </c>
      <c r="B56" t="s">
        <v>474</v>
      </c>
      <c r="I56" s="9">
        <f>'2009'!C51</f>
        <v>1</v>
      </c>
      <c r="J56" s="9">
        <f>'2009'!G51</f>
        <v>7</v>
      </c>
      <c r="K56" s="14">
        <f t="shared" si="1"/>
        <v>0.5907172995780591</v>
      </c>
    </row>
    <row r="57" spans="1:11" ht="12.75">
      <c r="A57" t="s">
        <v>584</v>
      </c>
      <c r="B57" t="s">
        <v>585</v>
      </c>
      <c r="I57" s="9">
        <f>'2009'!C55+'2010'!C62</f>
        <v>1</v>
      </c>
      <c r="J57" s="9">
        <f>'2009'!G55</f>
        <v>0</v>
      </c>
      <c r="K57" s="14">
        <f t="shared" si="1"/>
        <v>0</v>
      </c>
    </row>
    <row r="58" spans="1:11" ht="12.75">
      <c r="A58" t="s">
        <v>559</v>
      </c>
      <c r="B58" t="s">
        <v>560</v>
      </c>
      <c r="I58" s="9">
        <f>'2008'!C51+'2009'!C56+'2010'!C63</f>
        <v>3</v>
      </c>
      <c r="J58" s="9">
        <f>'2008'!G51+'2009'!G56</f>
        <v>24</v>
      </c>
      <c r="K58" s="14">
        <f t="shared" si="1"/>
        <v>2.0253164556962027</v>
      </c>
    </row>
    <row r="59" spans="1:11" ht="12.75">
      <c r="A59" t="s">
        <v>633</v>
      </c>
      <c r="B59" t="s">
        <v>634</v>
      </c>
      <c r="C59">
        <v>2</v>
      </c>
      <c r="E59">
        <v>7</v>
      </c>
      <c r="F59">
        <v>9</v>
      </c>
      <c r="G59" s="9">
        <f>SUM(E59:F59)</f>
        <v>16</v>
      </c>
      <c r="H59" s="14">
        <f>G59/$G$88*100</f>
        <v>7.655502392344498</v>
      </c>
      <c r="I59" s="9">
        <f>'2011'!C58+'2012'!C59</f>
        <v>4</v>
      </c>
      <c r="J59" s="9">
        <f>'2011'!G58+'2012'!G59</f>
        <v>31</v>
      </c>
      <c r="K59" s="14">
        <f t="shared" si="1"/>
        <v>2.6160337552742616</v>
      </c>
    </row>
    <row r="60" spans="1:11" ht="12.75">
      <c r="A60" t="s">
        <v>586</v>
      </c>
      <c r="B60" t="s">
        <v>587</v>
      </c>
      <c r="C60">
        <v>3</v>
      </c>
      <c r="E60">
        <v>10</v>
      </c>
      <c r="F60">
        <v>4</v>
      </c>
      <c r="G60" s="9">
        <f>SUM(E60:F60)</f>
        <v>14</v>
      </c>
      <c r="H60" s="14">
        <f>G60/$G$88*100</f>
        <v>6.698564593301436</v>
      </c>
      <c r="I60" s="9">
        <f>'2009'!C57+'2010'!C64+'2011'!C59+'2012'!C60</f>
        <v>8</v>
      </c>
      <c r="J60" s="9">
        <f>'2009'!G57+'2010'!G64+'2011'!G59+'2012'!G60</f>
        <v>47</v>
      </c>
      <c r="K60" s="69">
        <f t="shared" si="1"/>
        <v>3.9662447257383966</v>
      </c>
    </row>
    <row r="61" spans="1:11" ht="12.75">
      <c r="A61" t="s">
        <v>588</v>
      </c>
      <c r="B61" t="s">
        <v>589</v>
      </c>
      <c r="I61" s="9">
        <f>'2009'!C58+'2010'!C65+'2011'!C60</f>
        <v>8</v>
      </c>
      <c r="J61" s="9">
        <f>'2009'!G58+'2010'!G65+'2011'!G60</f>
        <v>42</v>
      </c>
      <c r="K61" s="14">
        <f t="shared" si="1"/>
        <v>3.5443037974683547</v>
      </c>
    </row>
    <row r="62" spans="1:11" ht="12.75">
      <c r="A62" t="s">
        <v>452</v>
      </c>
      <c r="B62" t="s">
        <v>365</v>
      </c>
      <c r="I62" s="9">
        <f>'2008'!C52+'2012'!C62</f>
        <v>3</v>
      </c>
      <c r="J62" s="9">
        <f>'2008'!G52</f>
        <v>25</v>
      </c>
      <c r="K62" s="14">
        <f t="shared" si="1"/>
        <v>2.109704641350211</v>
      </c>
    </row>
    <row r="63" spans="1:11" ht="12.75">
      <c r="A63" t="s">
        <v>649</v>
      </c>
      <c r="B63" t="s">
        <v>650</v>
      </c>
      <c r="C63">
        <v>1</v>
      </c>
      <c r="E63">
        <v>6</v>
      </c>
      <c r="F63">
        <v>2</v>
      </c>
      <c r="G63" s="9">
        <f>SUM(E63:F63)</f>
        <v>8</v>
      </c>
      <c r="H63" s="14">
        <f>G63/$G$88*100</f>
        <v>3.827751196172249</v>
      </c>
      <c r="I63" s="9">
        <f>C63</f>
        <v>1</v>
      </c>
      <c r="J63" s="9">
        <f>G63</f>
        <v>8</v>
      </c>
      <c r="K63" s="14">
        <f t="shared" si="1"/>
        <v>0.6751054852320675</v>
      </c>
    </row>
    <row r="64" spans="1:11" ht="12.75">
      <c r="A64" t="s">
        <v>612</v>
      </c>
      <c r="B64" t="s">
        <v>613</v>
      </c>
      <c r="I64" s="9">
        <f>'2010'!C67</f>
        <v>1</v>
      </c>
      <c r="J64" s="9">
        <f>'2010'!G67</f>
        <v>5</v>
      </c>
      <c r="K64" s="14">
        <f t="shared" si="1"/>
        <v>0.42194092827004215</v>
      </c>
    </row>
    <row r="65" spans="1:11" ht="12.75">
      <c r="A65" t="s">
        <v>614</v>
      </c>
      <c r="B65" t="s">
        <v>615</v>
      </c>
      <c r="I65" s="9">
        <f>'2010'!C68</f>
        <v>1</v>
      </c>
      <c r="J65" s="9">
        <f>'2010'!G68</f>
        <v>6</v>
      </c>
      <c r="K65" s="14">
        <f t="shared" si="1"/>
        <v>0.5063291139240507</v>
      </c>
    </row>
    <row r="66" spans="1:11" ht="12.75">
      <c r="A66" t="s">
        <v>502</v>
      </c>
      <c r="C66" s="9">
        <f aca="true" t="shared" si="2" ref="C66:K66">SUM(C3:C65)</f>
        <v>28</v>
      </c>
      <c r="D66" s="9">
        <f t="shared" si="2"/>
        <v>4</v>
      </c>
      <c r="E66" s="9">
        <f t="shared" si="2"/>
        <v>83</v>
      </c>
      <c r="F66" s="9">
        <f t="shared" si="2"/>
        <v>81</v>
      </c>
      <c r="G66" s="9">
        <f t="shared" si="2"/>
        <v>164</v>
      </c>
      <c r="H66" s="14">
        <f t="shared" si="2"/>
        <v>78.4688995215311</v>
      </c>
      <c r="I66" s="9">
        <f t="shared" si="2"/>
        <v>168</v>
      </c>
      <c r="J66" s="9">
        <f t="shared" si="2"/>
        <v>970</v>
      </c>
      <c r="K66" s="14">
        <f t="shared" si="2"/>
        <v>81.8565400843882</v>
      </c>
    </row>
    <row r="67" ht="12.75">
      <c r="K67" s="14"/>
    </row>
    <row r="68" ht="12.75">
      <c r="K68" s="14"/>
    </row>
    <row r="69" spans="1:11" ht="12.75">
      <c r="A69" t="s">
        <v>590</v>
      </c>
      <c r="B69" t="s">
        <v>591</v>
      </c>
      <c r="I69" s="9">
        <f>'2009'!C65+'2010'!C74+'2012'!C69</f>
        <v>2</v>
      </c>
      <c r="J69" s="9">
        <f>'2009'!G65+'2010'!G74</f>
        <v>8</v>
      </c>
      <c r="K69" s="14">
        <f aca="true" t="shared" si="3" ref="K69:K83">J69/$J$88*100</f>
        <v>0.6751054852320675</v>
      </c>
    </row>
    <row r="70" spans="1:11" ht="12.75">
      <c r="A70" t="s">
        <v>103</v>
      </c>
      <c r="B70" t="s">
        <v>592</v>
      </c>
      <c r="C70">
        <v>1</v>
      </c>
      <c r="E70">
        <v>2</v>
      </c>
      <c r="F70">
        <v>4</v>
      </c>
      <c r="G70" s="9">
        <f>SUM(E70:F70)</f>
        <v>6</v>
      </c>
      <c r="H70" s="14">
        <f>G70/$G$88*100</f>
        <v>2.8708133971291865</v>
      </c>
      <c r="I70" s="9">
        <f>'2009'!C66+'2012'!C70</f>
        <v>2</v>
      </c>
      <c r="J70" s="9">
        <f>'2009'!G66+'2012'!G70</f>
        <v>13</v>
      </c>
      <c r="K70" s="14">
        <f t="shared" si="3"/>
        <v>1.0970464135021099</v>
      </c>
    </row>
    <row r="71" spans="1:11" ht="12.75">
      <c r="A71" t="s">
        <v>593</v>
      </c>
      <c r="B71" t="s">
        <v>594</v>
      </c>
      <c r="I71" s="9">
        <f>'2009'!C67+'2011'!C70</f>
        <v>3</v>
      </c>
      <c r="J71" s="9">
        <f>'2009'!G67+'2011'!G70</f>
        <v>20</v>
      </c>
      <c r="K71" s="14">
        <f t="shared" si="3"/>
        <v>1.6877637130801686</v>
      </c>
    </row>
    <row r="72" spans="1:11" ht="12.75">
      <c r="A72" t="s">
        <v>651</v>
      </c>
      <c r="B72" t="s">
        <v>652</v>
      </c>
      <c r="C72">
        <v>1</v>
      </c>
      <c r="E72">
        <v>6</v>
      </c>
      <c r="F72">
        <v>2</v>
      </c>
      <c r="G72" s="9">
        <f>SUM(E72:F72)</f>
        <v>8</v>
      </c>
      <c r="H72" s="14">
        <f>G72/$G$88*100</f>
        <v>3.827751196172249</v>
      </c>
      <c r="I72" s="9">
        <f>C72</f>
        <v>1</v>
      </c>
      <c r="J72" s="9">
        <f>G72</f>
        <v>8</v>
      </c>
      <c r="K72" s="14">
        <f t="shared" si="3"/>
        <v>0.6751054852320675</v>
      </c>
    </row>
    <row r="73" spans="1:11" ht="12.75">
      <c r="A73" t="s">
        <v>528</v>
      </c>
      <c r="B73" t="s">
        <v>529</v>
      </c>
      <c r="I73" s="9">
        <f>'2009'!C69</f>
        <v>1</v>
      </c>
      <c r="J73" s="9">
        <f>'2009'!G69</f>
        <v>9</v>
      </c>
      <c r="K73" s="14">
        <f t="shared" si="3"/>
        <v>0.7594936708860759</v>
      </c>
    </row>
    <row r="74" spans="1:11" ht="12.75">
      <c r="A74" t="s">
        <v>503</v>
      </c>
      <c r="B74" t="s">
        <v>504</v>
      </c>
      <c r="C74">
        <v>1</v>
      </c>
      <c r="E74">
        <v>1</v>
      </c>
      <c r="F74">
        <v>5</v>
      </c>
      <c r="G74" s="9">
        <f>SUM(E74:F74)</f>
        <v>6</v>
      </c>
      <c r="H74" s="14">
        <f>G74/$G$88*100</f>
        <v>2.8708133971291865</v>
      </c>
      <c r="I74" s="9">
        <f>'2008'!C63+'2009'!C70+'2010'!C79+'2011'!C72+'2012'!C74</f>
        <v>10</v>
      </c>
      <c r="J74" s="9">
        <f>'2008'!G63+'2009'!G70+'2010'!G79+'2011'!G72+'2012'!G74</f>
        <v>79</v>
      </c>
      <c r="K74" s="14">
        <f t="shared" si="3"/>
        <v>6.666666666666667</v>
      </c>
    </row>
    <row r="75" spans="1:11" ht="12.75">
      <c r="A75" t="s">
        <v>616</v>
      </c>
      <c r="B75" t="s">
        <v>617</v>
      </c>
      <c r="C75">
        <v>1</v>
      </c>
      <c r="E75">
        <v>1</v>
      </c>
      <c r="F75">
        <v>1</v>
      </c>
      <c r="G75" s="9">
        <f>SUM(E75:F75)</f>
        <v>2</v>
      </c>
      <c r="H75" s="14">
        <f>G75/$G$88*100</f>
        <v>0.9569377990430622</v>
      </c>
      <c r="I75" s="9">
        <f>'2010'!C80+'2012'!C75</f>
        <v>2</v>
      </c>
      <c r="J75" s="9">
        <f>'2010'!G80+'2012'!G75</f>
        <v>3</v>
      </c>
      <c r="K75" s="14">
        <f t="shared" si="3"/>
        <v>0.25316455696202533</v>
      </c>
    </row>
    <row r="76" spans="1:11" ht="12.75">
      <c r="A76" t="s">
        <v>602</v>
      </c>
      <c r="B76" t="s">
        <v>603</v>
      </c>
      <c r="C76">
        <v>1</v>
      </c>
      <c r="E76">
        <v>0</v>
      </c>
      <c r="F76">
        <v>2</v>
      </c>
      <c r="G76" s="9">
        <f>SUM(E76:F76)</f>
        <v>2</v>
      </c>
      <c r="H76" s="14">
        <f>G76/$G$88*100</f>
        <v>0.9569377990430622</v>
      </c>
      <c r="I76" s="9">
        <f>'2011'!C74+'2012'!C76</f>
        <v>2</v>
      </c>
      <c r="J76" s="9">
        <f>'2011'!G74+'2012'!G76</f>
        <v>9</v>
      </c>
      <c r="K76" s="14">
        <f t="shared" si="3"/>
        <v>0.7594936708860759</v>
      </c>
    </row>
    <row r="77" spans="1:11" ht="12.75">
      <c r="A77" t="s">
        <v>653</v>
      </c>
      <c r="B77" t="s">
        <v>654</v>
      </c>
      <c r="C77">
        <v>1</v>
      </c>
      <c r="E77">
        <v>3</v>
      </c>
      <c r="F77">
        <v>3</v>
      </c>
      <c r="G77" s="9">
        <f>SUM(E77:F77)</f>
        <v>6</v>
      </c>
      <c r="H77" s="14">
        <f>G77/$G$88*100</f>
        <v>2.8708133971291865</v>
      </c>
      <c r="I77" s="9">
        <f>C77</f>
        <v>1</v>
      </c>
      <c r="J77" s="9">
        <f>G77</f>
        <v>6</v>
      </c>
      <c r="K77" s="14">
        <f t="shared" si="3"/>
        <v>0.5063291139240507</v>
      </c>
    </row>
    <row r="78" spans="1:11" ht="12.75">
      <c r="A78" t="s">
        <v>618</v>
      </c>
      <c r="B78" t="s">
        <v>619</v>
      </c>
      <c r="I78" s="9">
        <f>'2010'!C81</f>
        <v>1</v>
      </c>
      <c r="J78" s="9">
        <f>'2010'!G81</f>
        <v>1</v>
      </c>
      <c r="K78" s="14">
        <f t="shared" si="3"/>
        <v>0.08438818565400844</v>
      </c>
    </row>
    <row r="79" spans="1:11" ht="12.75">
      <c r="A79" t="s">
        <v>543</v>
      </c>
      <c r="B79" t="s">
        <v>544</v>
      </c>
      <c r="I79" s="9">
        <f>'2011'!C76</f>
        <v>1</v>
      </c>
      <c r="J79" s="9">
        <f>'2011'!G76</f>
        <v>10</v>
      </c>
      <c r="K79" s="69">
        <f t="shared" si="3"/>
        <v>0.8438818565400843</v>
      </c>
    </row>
    <row r="80" spans="1:11" ht="12.75">
      <c r="A80" t="s">
        <v>655</v>
      </c>
      <c r="B80" t="s">
        <v>656</v>
      </c>
      <c r="C80">
        <v>1</v>
      </c>
      <c r="E80">
        <v>5</v>
      </c>
      <c r="F80">
        <v>2</v>
      </c>
      <c r="G80" s="9">
        <f>SUM(E80:F80)</f>
        <v>7</v>
      </c>
      <c r="H80" s="14">
        <f>G80/$G$88*100</f>
        <v>3.349282296650718</v>
      </c>
      <c r="I80" s="9">
        <f>C80</f>
        <v>1</v>
      </c>
      <c r="J80" s="9">
        <f>G80</f>
        <v>7</v>
      </c>
      <c r="K80" s="14">
        <f t="shared" si="3"/>
        <v>0.5907172995780591</v>
      </c>
    </row>
    <row r="81" spans="1:11" ht="12.75">
      <c r="A81" t="s">
        <v>545</v>
      </c>
      <c r="B81" t="s">
        <v>546</v>
      </c>
      <c r="I81" s="9">
        <f>'2009'!C71</f>
        <v>1</v>
      </c>
      <c r="J81" s="9">
        <f>'2009'!G71</f>
        <v>6</v>
      </c>
      <c r="K81" s="14">
        <f t="shared" si="3"/>
        <v>0.5063291139240507</v>
      </c>
    </row>
    <row r="82" spans="1:11" ht="12.75">
      <c r="A82" t="s">
        <v>561</v>
      </c>
      <c r="B82" t="s">
        <v>562</v>
      </c>
      <c r="I82" s="9">
        <f>'2008'!C70+'2012'!C82</f>
        <v>1</v>
      </c>
      <c r="J82" s="9">
        <f>'2008'!G70</f>
        <v>1</v>
      </c>
      <c r="K82" s="14">
        <f t="shared" si="3"/>
        <v>0.08438818565400844</v>
      </c>
    </row>
    <row r="83" spans="1:11" ht="12.75">
      <c r="A83" t="s">
        <v>595</v>
      </c>
      <c r="B83" t="s">
        <v>596</v>
      </c>
      <c r="I83" s="9">
        <f>'2009'!C80+'2011'!C81</f>
        <v>2</v>
      </c>
      <c r="J83" s="9">
        <f>'2009'!G80+'2011'!G81</f>
        <v>4</v>
      </c>
      <c r="K83" s="14">
        <f t="shared" si="3"/>
        <v>0.33755274261603374</v>
      </c>
    </row>
    <row r="84" spans="1:11" ht="12.75">
      <c r="A84" t="s">
        <v>511</v>
      </c>
      <c r="C84" s="9">
        <f>SUM(C69:C83)</f>
        <v>7</v>
      </c>
      <c r="G84" s="9">
        <f>SUM(G69:G83)</f>
        <v>37</v>
      </c>
      <c r="H84" s="14">
        <f>SUM(H70:H83)</f>
        <v>17.703349282296653</v>
      </c>
      <c r="J84" s="9">
        <f>SUM(J69:J83)</f>
        <v>184</v>
      </c>
      <c r="K84" s="14">
        <f>SUM(K69:K83)</f>
        <v>15.527426160337553</v>
      </c>
    </row>
    <row r="85" spans="1:11" ht="12.75">
      <c r="A85" t="s">
        <v>531</v>
      </c>
      <c r="G85" s="9">
        <f>G66+G84</f>
        <v>201</v>
      </c>
      <c r="K85" s="14"/>
    </row>
    <row r="86" ht="12.75">
      <c r="K86" s="14"/>
    </row>
    <row r="87" spans="1:11" ht="12.75">
      <c r="A87" t="s">
        <v>462</v>
      </c>
      <c r="C87" s="9">
        <f>G87</f>
        <v>8</v>
      </c>
      <c r="E87">
        <v>4</v>
      </c>
      <c r="F87">
        <v>4</v>
      </c>
      <c r="G87" s="9">
        <f>SUM(E87:F87)</f>
        <v>8</v>
      </c>
      <c r="H87" s="14">
        <f>G87/$G$88*100</f>
        <v>3.827751196172249</v>
      </c>
      <c r="J87" s="9">
        <f>'2008'!G76+'2009'!G85+'2010'!G96+'2011'!G85+'2012'!G87</f>
        <v>31</v>
      </c>
      <c r="K87" s="14">
        <f>J87/$J$88*100</f>
        <v>2.6160337552742616</v>
      </c>
    </row>
    <row r="88" spans="1:11" ht="12.75">
      <c r="A88" t="s">
        <v>533</v>
      </c>
      <c r="G88" s="9">
        <f>G85+G87</f>
        <v>209</v>
      </c>
      <c r="H88" s="14">
        <f>H66+H84+H87</f>
        <v>100</v>
      </c>
      <c r="J88" s="9">
        <f>J66+J84+J87</f>
        <v>1185</v>
      </c>
      <c r="K88" s="14">
        <f>K66+K84+K87</f>
        <v>100.00000000000001</v>
      </c>
    </row>
    <row r="91" spans="1:2" ht="12.75">
      <c r="A91" t="s">
        <v>6</v>
      </c>
      <c r="B91">
        <v>28</v>
      </c>
    </row>
    <row r="92" spans="1:2" ht="12.75">
      <c r="A92" t="s">
        <v>7</v>
      </c>
      <c r="B92" s="9">
        <f>C66+C84+C87</f>
        <v>43</v>
      </c>
    </row>
    <row r="93" spans="1:2" ht="12.75">
      <c r="A93" t="s">
        <v>563</v>
      </c>
      <c r="B93" s="9">
        <f>4*(B91*B92)/(B91+B92)</f>
        <v>67.83098591549296</v>
      </c>
    </row>
    <row r="95" spans="1:2" ht="12.75">
      <c r="A95" t="s">
        <v>564</v>
      </c>
      <c r="B95" s="9">
        <f>(B93/B92)*50</f>
        <v>78.87323943661973</v>
      </c>
    </row>
    <row r="98" ht="12.75">
      <c r="A98" t="s">
        <v>534</v>
      </c>
    </row>
    <row r="100" spans="1:2" ht="12.75">
      <c r="A100" t="s">
        <v>6</v>
      </c>
      <c r="B100" s="9">
        <f>'2008'!B81+'2009'!B90+'2010'!B101+'2011'!B89+'2012'!B91</f>
        <v>138</v>
      </c>
    </row>
    <row r="101" spans="1:2" ht="12.75">
      <c r="A101" t="s">
        <v>7</v>
      </c>
      <c r="B101" s="9">
        <f>'2008'!B82+'2009'!B91+'2010'!B102+'2011'!B90+'2012'!B92</f>
        <v>203</v>
      </c>
    </row>
    <row r="102" spans="1:2" ht="12.75">
      <c r="A102" t="s">
        <v>563</v>
      </c>
      <c r="B102" s="9">
        <f>4*(B100*B101)/(B100+B101)</f>
        <v>328.6099706744868</v>
      </c>
    </row>
    <row r="104" spans="1:2" ht="12.75">
      <c r="A104" t="s">
        <v>564</v>
      </c>
      <c r="B104" s="9">
        <f>(B102/B101)*50</f>
        <v>80.93841642228739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 gridLines="1"/>
  <pageMargins left="0.7" right="0.7" top="0.75" bottom="0.75" header="0.5118055555555555" footer="0.5118055555555555"/>
  <pageSetup horizontalDpi="300" verticalDpi="300" orientation="landscape" paperSize="9"/>
  <rowBreaks count="1" manualBreakCount="1">
    <brk id="6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4"/>
  <sheetViews>
    <sheetView zoomScale="90" zoomScaleNormal="90"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3" sqref="C3"/>
    </sheetView>
  </sheetViews>
  <sheetFormatPr defaultColWidth="9.140625" defaultRowHeight="12.75"/>
  <cols>
    <col min="1" max="1" width="21.00390625" style="0" customWidth="1"/>
    <col min="2" max="2" width="12.57421875" style="0" customWidth="1"/>
    <col min="5" max="5" width="11.57421875" style="0" customWidth="1"/>
    <col min="6" max="6" width="9.8515625" style="0" customWidth="1"/>
    <col min="8" max="8" width="10.7109375" style="14" customWidth="1"/>
    <col min="11" max="11" width="9.140625" style="14" customWidth="1"/>
    <col min="12" max="12" width="12.00390625" style="0" customWidth="1"/>
  </cols>
  <sheetData>
    <row r="1" spans="1:12" ht="12.75" customHeight="1">
      <c r="A1" s="73" t="s">
        <v>0</v>
      </c>
      <c r="B1" s="74">
        <v>2013</v>
      </c>
      <c r="C1" s="106" t="s">
        <v>4</v>
      </c>
      <c r="D1" s="107" t="s">
        <v>368</v>
      </c>
      <c r="E1" s="106" t="s">
        <v>6</v>
      </c>
      <c r="F1" s="106" t="s">
        <v>7</v>
      </c>
      <c r="G1" s="73"/>
      <c r="H1" s="75"/>
      <c r="I1" s="106" t="s">
        <v>294</v>
      </c>
      <c r="J1" s="106" t="s">
        <v>295</v>
      </c>
      <c r="K1" s="109" t="s">
        <v>322</v>
      </c>
      <c r="L1" s="108" t="s">
        <v>13</v>
      </c>
    </row>
    <row r="2" spans="1:12" ht="34.5">
      <c r="A2" s="76" t="s">
        <v>431</v>
      </c>
      <c r="B2" s="76" t="s">
        <v>3</v>
      </c>
      <c r="C2" s="106"/>
      <c r="D2" s="107"/>
      <c r="E2" s="106"/>
      <c r="F2" s="106"/>
      <c r="G2" s="73" t="s">
        <v>8</v>
      </c>
      <c r="H2" s="75" t="s">
        <v>9</v>
      </c>
      <c r="I2" s="106"/>
      <c r="J2" s="106"/>
      <c r="K2" s="109"/>
      <c r="L2" s="108"/>
    </row>
    <row r="3" spans="1:11" ht="12.75">
      <c r="A3" t="s">
        <v>526</v>
      </c>
      <c r="B3" t="s">
        <v>527</v>
      </c>
      <c r="I3" s="9">
        <f>'2009'!C3</f>
        <v>2</v>
      </c>
      <c r="J3" s="9">
        <f>'2009'!G3</f>
        <v>8</v>
      </c>
      <c r="K3" s="14">
        <f aca="true" t="shared" si="0" ref="K3:K34">J3/$J$88*100</f>
        <v>0.6717044500419815</v>
      </c>
    </row>
    <row r="4" spans="1:11" ht="12.75">
      <c r="A4" t="s">
        <v>657</v>
      </c>
      <c r="B4" t="s">
        <v>658</v>
      </c>
      <c r="C4">
        <v>1</v>
      </c>
      <c r="E4">
        <v>6</v>
      </c>
      <c r="F4">
        <v>3</v>
      </c>
      <c r="G4" s="9">
        <f>SUM(E4:F4)</f>
        <v>9</v>
      </c>
      <c r="H4" s="14">
        <f>G4/$G$88*100</f>
        <v>3.75</v>
      </c>
      <c r="I4" s="9">
        <f>C4</f>
        <v>1</v>
      </c>
      <c r="J4" s="9">
        <f>G4</f>
        <v>9</v>
      </c>
      <c r="K4" s="14">
        <f t="shared" si="0"/>
        <v>0.7556675062972292</v>
      </c>
    </row>
    <row r="5" spans="1:11" ht="12.75">
      <c r="A5" t="s">
        <v>598</v>
      </c>
      <c r="B5" t="s">
        <v>599</v>
      </c>
      <c r="C5">
        <v>1</v>
      </c>
      <c r="E5">
        <v>5</v>
      </c>
      <c r="F5">
        <v>2</v>
      </c>
      <c r="G5" s="9">
        <f>SUM(E5:F5)</f>
        <v>7</v>
      </c>
      <c r="H5" s="14">
        <f>G5/$G$88*100</f>
        <v>2.9166666666666665</v>
      </c>
      <c r="I5" s="9">
        <f>'2010'!C4+'2011'!C4+'2013'!C5</f>
        <v>3</v>
      </c>
      <c r="J5" s="9">
        <f>'2010'!G4+'2013'!G5</f>
        <v>14</v>
      </c>
      <c r="K5" s="14">
        <f t="shared" si="0"/>
        <v>1.1754827875734677</v>
      </c>
    </row>
    <row r="6" spans="1:11" ht="12.75">
      <c r="A6" t="s">
        <v>516</v>
      </c>
      <c r="B6" t="s">
        <v>517</v>
      </c>
      <c r="I6" s="9">
        <f>'2009'!C4</f>
        <v>1</v>
      </c>
      <c r="J6">
        <v>0</v>
      </c>
      <c r="K6" s="14">
        <f t="shared" si="0"/>
        <v>0</v>
      </c>
    </row>
    <row r="7" spans="1:11" ht="12.75">
      <c r="A7" t="s">
        <v>635</v>
      </c>
      <c r="B7" t="s">
        <v>636</v>
      </c>
      <c r="I7" s="9">
        <f>'2012'!C6</f>
        <v>1</v>
      </c>
      <c r="J7" s="9">
        <f>'2012'!G6</f>
        <v>7</v>
      </c>
      <c r="K7" s="14">
        <f t="shared" si="0"/>
        <v>0.5877413937867338</v>
      </c>
    </row>
    <row r="8" spans="1:11" ht="12.75">
      <c r="A8" t="s">
        <v>565</v>
      </c>
      <c r="B8" t="s">
        <v>566</v>
      </c>
      <c r="I8" s="9">
        <f>'2009'!C6</f>
        <v>1</v>
      </c>
      <c r="J8" s="9">
        <f>'2009'!G6</f>
        <v>3</v>
      </c>
      <c r="K8" s="14">
        <f t="shared" si="0"/>
        <v>0.2518891687657431</v>
      </c>
    </row>
    <row r="9" spans="1:11" ht="12.75">
      <c r="A9" t="s">
        <v>518</v>
      </c>
      <c r="B9" t="s">
        <v>519</v>
      </c>
      <c r="I9" s="9">
        <f>'2009'!C7+'2010'!C8</f>
        <v>3</v>
      </c>
      <c r="J9" s="9">
        <f>'2009'!G7+'2010'!G8</f>
        <v>14</v>
      </c>
      <c r="K9" s="14">
        <f t="shared" si="0"/>
        <v>1.1754827875734677</v>
      </c>
    </row>
    <row r="10" spans="1:11" ht="12.75">
      <c r="A10" t="s">
        <v>520</v>
      </c>
      <c r="B10" t="s">
        <v>521</v>
      </c>
      <c r="I10" s="9">
        <f>'2009'!C9</f>
        <v>1</v>
      </c>
      <c r="J10">
        <v>0</v>
      </c>
      <c r="K10" s="14">
        <f t="shared" si="0"/>
        <v>0</v>
      </c>
    </row>
    <row r="11" spans="1:11" ht="12.75">
      <c r="A11" t="s">
        <v>637</v>
      </c>
      <c r="B11" t="s">
        <v>638</v>
      </c>
      <c r="I11" s="9">
        <f>'2012'!C10</f>
        <v>1</v>
      </c>
      <c r="J11">
        <v>0</v>
      </c>
      <c r="K11" s="14">
        <f t="shared" si="0"/>
        <v>0</v>
      </c>
    </row>
    <row r="12" spans="1:11" ht="12.75">
      <c r="A12" t="s">
        <v>600</v>
      </c>
      <c r="B12" t="s">
        <v>601</v>
      </c>
      <c r="I12" s="9">
        <f>'2010'!C12+'2011'!C11+'2012'!C11</f>
        <v>6</v>
      </c>
      <c r="J12" s="9">
        <f>'2010'!G12+'2011'!G11+'2012'!G11</f>
        <v>14</v>
      </c>
      <c r="K12" s="14">
        <f t="shared" si="0"/>
        <v>1.1754827875734677</v>
      </c>
    </row>
    <row r="13" spans="1:11" ht="12.75">
      <c r="A13" t="s">
        <v>567</v>
      </c>
      <c r="B13" t="s">
        <v>568</v>
      </c>
      <c r="I13" s="9">
        <f>'2009'!C11</f>
        <v>1</v>
      </c>
      <c r="J13" s="9">
        <f>'2009'!G11</f>
        <v>10</v>
      </c>
      <c r="K13" s="14">
        <f t="shared" si="0"/>
        <v>0.8396305625524769</v>
      </c>
    </row>
    <row r="14" spans="1:11" ht="12.75">
      <c r="A14" t="s">
        <v>622</v>
      </c>
      <c r="B14" t="s">
        <v>623</v>
      </c>
      <c r="I14" s="9">
        <f>'2011'!C13</f>
        <v>1</v>
      </c>
      <c r="J14" s="9">
        <f>'2011'!G13</f>
        <v>7</v>
      </c>
      <c r="K14" s="14">
        <f t="shared" si="0"/>
        <v>0.5877413937867338</v>
      </c>
    </row>
    <row r="15" spans="1:11" ht="12.75">
      <c r="A15" t="s">
        <v>624</v>
      </c>
      <c r="B15" t="s">
        <v>625</v>
      </c>
      <c r="C15">
        <v>1</v>
      </c>
      <c r="E15">
        <v>2</v>
      </c>
      <c r="F15">
        <v>3</v>
      </c>
      <c r="G15" s="9">
        <f>SUM(E15:F15)</f>
        <v>5</v>
      </c>
      <c r="H15" s="14">
        <f>G15/$G$88*100</f>
        <v>2.083333333333333</v>
      </c>
      <c r="I15" s="9">
        <f>'2011'!C15+'2012'!C15+'2013'!C15</f>
        <v>5</v>
      </c>
      <c r="J15" s="9">
        <f>'2011'!G15+'2012'!G15+'2013'!G15</f>
        <v>26</v>
      </c>
      <c r="K15" s="14">
        <f t="shared" si="0"/>
        <v>2.18303946263644</v>
      </c>
    </row>
    <row r="16" spans="1:11" ht="12.75">
      <c r="A16" t="s">
        <v>602</v>
      </c>
      <c r="B16" t="s">
        <v>603</v>
      </c>
      <c r="C16">
        <v>1</v>
      </c>
      <c r="E16">
        <v>2</v>
      </c>
      <c r="F16">
        <v>6</v>
      </c>
      <c r="G16" s="9">
        <f>SUM(E16:F16)</f>
        <v>8</v>
      </c>
      <c r="H16" s="14">
        <f>G16/$G$88*100</f>
        <v>3.3333333333333335</v>
      </c>
      <c r="I16" s="9">
        <f>'2010'!C16+'2011'!C17+'2012'!C17+'2013'!C16</f>
        <v>8</v>
      </c>
      <c r="J16" s="9">
        <f>'2010'!G16+'2011'!G17+'2012'!G17+'2013'!G16</f>
        <v>35</v>
      </c>
      <c r="K16" s="14">
        <f t="shared" si="0"/>
        <v>2.938706968933669</v>
      </c>
    </row>
    <row r="17" spans="1:11" ht="12.75">
      <c r="A17" t="s">
        <v>569</v>
      </c>
      <c r="B17" t="s">
        <v>570</v>
      </c>
      <c r="I17" s="9">
        <f>'2009'!C14+'2010'!C17</f>
        <v>2</v>
      </c>
      <c r="J17" s="9">
        <f>'2009'!G14+'2010'!G17</f>
        <v>12</v>
      </c>
      <c r="K17" s="14">
        <f t="shared" si="0"/>
        <v>1.0075566750629723</v>
      </c>
    </row>
    <row r="18" spans="1:11" ht="12.75">
      <c r="A18" t="s">
        <v>571</v>
      </c>
      <c r="B18" t="s">
        <v>572</v>
      </c>
      <c r="C18">
        <v>2</v>
      </c>
      <c r="E18">
        <v>7</v>
      </c>
      <c r="F18">
        <v>6</v>
      </c>
      <c r="G18" s="9">
        <f>SUM(E18:F18)</f>
        <v>13</v>
      </c>
      <c r="H18" s="14">
        <f>G18/$G$88*100</f>
        <v>5.416666666666667</v>
      </c>
      <c r="I18" s="9">
        <f>'2009'!C16+'2012'!C20+'2013'!C18</f>
        <v>4</v>
      </c>
      <c r="J18" s="9">
        <f>'2009'!G16+'2012'!G20+'2013'!G18</f>
        <v>32</v>
      </c>
      <c r="K18" s="14">
        <f t="shared" si="0"/>
        <v>2.686817800167926</v>
      </c>
    </row>
    <row r="19" spans="1:11" ht="12.75">
      <c r="A19" t="s">
        <v>539</v>
      </c>
      <c r="B19" t="s">
        <v>540</v>
      </c>
      <c r="I19" s="9">
        <f>'2009'!C17</f>
        <v>2</v>
      </c>
      <c r="J19" s="9">
        <f>'2009'!G17</f>
        <v>9</v>
      </c>
      <c r="K19" s="14">
        <f t="shared" si="0"/>
        <v>0.7556675062972292</v>
      </c>
    </row>
    <row r="20" spans="1:11" ht="12.75">
      <c r="A20" t="s">
        <v>541</v>
      </c>
      <c r="B20" t="s">
        <v>542</v>
      </c>
      <c r="I20" s="9">
        <f>'2009'!C18+'2010'!C21</f>
        <v>3</v>
      </c>
      <c r="J20" s="9">
        <f>'2009'!G18+'2010'!G21</f>
        <v>24</v>
      </c>
      <c r="K20" s="14">
        <f t="shared" si="0"/>
        <v>2.0151133501259446</v>
      </c>
    </row>
    <row r="21" spans="1:11" ht="12.75">
      <c r="A21" t="s">
        <v>487</v>
      </c>
      <c r="B21" t="s">
        <v>438</v>
      </c>
      <c r="I21" s="9">
        <f>'2009'!C19</f>
        <v>1</v>
      </c>
      <c r="J21" s="9">
        <f>'2009'!G19</f>
        <v>4</v>
      </c>
      <c r="K21" s="14">
        <f t="shared" si="0"/>
        <v>0.33585222502099077</v>
      </c>
    </row>
    <row r="22" spans="1:11" ht="12.75">
      <c r="A22" t="s">
        <v>573</v>
      </c>
      <c r="B22" t="s">
        <v>574</v>
      </c>
      <c r="I22" s="9">
        <f>'2009'!C21+'2010'!C24</f>
        <v>4</v>
      </c>
      <c r="J22" s="9">
        <f>'2009'!G21+'2010'!G24</f>
        <v>28</v>
      </c>
      <c r="K22" s="14">
        <f t="shared" si="0"/>
        <v>2.3509655751469354</v>
      </c>
    </row>
    <row r="23" spans="1:11" ht="12.75">
      <c r="A23" t="s">
        <v>639</v>
      </c>
      <c r="B23" t="s">
        <v>640</v>
      </c>
      <c r="C23">
        <v>2</v>
      </c>
      <c r="E23">
        <v>5</v>
      </c>
      <c r="F23">
        <v>14</v>
      </c>
      <c r="G23" s="9">
        <f>SUM(E23:F23)</f>
        <v>19</v>
      </c>
      <c r="H23" s="14">
        <f>G23/$G$88*100</f>
        <v>7.916666666666666</v>
      </c>
      <c r="I23" s="9">
        <f>'2012'!C25+'2013'!C23</f>
        <v>5</v>
      </c>
      <c r="J23" s="9">
        <f>'2012'!G25+'2013'!G23</f>
        <v>41</v>
      </c>
      <c r="K23" s="14">
        <f t="shared" si="0"/>
        <v>3.4424853064651555</v>
      </c>
    </row>
    <row r="24" spans="1:11" ht="12.75">
      <c r="A24" t="s">
        <v>641</v>
      </c>
      <c r="B24" t="s">
        <v>659</v>
      </c>
      <c r="I24" s="9">
        <f>'2012'!C26</f>
        <v>3</v>
      </c>
      <c r="J24" s="9">
        <f>'2012'!G26</f>
        <v>18</v>
      </c>
      <c r="K24" s="14">
        <f t="shared" si="0"/>
        <v>1.5113350125944585</v>
      </c>
    </row>
    <row r="25" spans="1:11" ht="12.75">
      <c r="A25" t="s">
        <v>543</v>
      </c>
      <c r="B25" t="s">
        <v>544</v>
      </c>
      <c r="I25" s="9">
        <f>'2009'!C23+'2010'!C26+'2011'!C26</f>
        <v>7</v>
      </c>
      <c r="J25" s="9">
        <f>'2009'!G23+'2010'!G26+'2011'!G26</f>
        <v>53</v>
      </c>
      <c r="K25" s="69">
        <f t="shared" si="0"/>
        <v>4.450041981528128</v>
      </c>
    </row>
    <row r="26" spans="1:11" ht="12.75">
      <c r="A26" t="s">
        <v>575</v>
      </c>
      <c r="B26" t="s">
        <v>576</v>
      </c>
      <c r="I26" s="9">
        <f>'2009'!C24</f>
        <v>1</v>
      </c>
      <c r="J26" s="9">
        <f>'2009'!G24</f>
        <v>9</v>
      </c>
      <c r="K26" s="14">
        <f t="shared" si="0"/>
        <v>0.7556675062972292</v>
      </c>
    </row>
    <row r="27" spans="1:11" ht="12.75">
      <c r="A27" t="s">
        <v>604</v>
      </c>
      <c r="B27" t="s">
        <v>605</v>
      </c>
      <c r="I27" s="9">
        <f>'2010'!C28+'2011'!C28</f>
        <v>3</v>
      </c>
      <c r="J27" s="9">
        <f>'2010'!G28+'2011'!G28</f>
        <v>16</v>
      </c>
      <c r="K27" s="14">
        <f t="shared" si="0"/>
        <v>1.343408900083963</v>
      </c>
    </row>
    <row r="28" spans="1:15" ht="12.75">
      <c r="A28" t="s">
        <v>643</v>
      </c>
      <c r="B28" t="s">
        <v>644</v>
      </c>
      <c r="C28">
        <v>2</v>
      </c>
      <c r="E28">
        <v>12</v>
      </c>
      <c r="F28">
        <v>4</v>
      </c>
      <c r="G28" s="9">
        <f>SUM(E28:F28)</f>
        <v>16</v>
      </c>
      <c r="H28" s="14">
        <f>G28/$G$88*100</f>
        <v>6.666666666666667</v>
      </c>
      <c r="I28" s="9">
        <f>'2012'!C30+'2013'!C28</f>
        <v>4</v>
      </c>
      <c r="J28" s="9">
        <f>'2012'!G30+'2013'!G28</f>
        <v>31</v>
      </c>
      <c r="K28" s="14">
        <f t="shared" si="0"/>
        <v>2.6028547439126783</v>
      </c>
      <c r="O28" s="77"/>
    </row>
    <row r="29" spans="1:11" ht="12.75">
      <c r="A29" t="s">
        <v>545</v>
      </c>
      <c r="B29" t="s">
        <v>546</v>
      </c>
      <c r="I29" s="9">
        <f>'2009'!C25</f>
        <v>1</v>
      </c>
      <c r="J29">
        <v>0</v>
      </c>
      <c r="K29" s="14">
        <f t="shared" si="0"/>
        <v>0</v>
      </c>
    </row>
    <row r="30" spans="1:11" ht="12.75">
      <c r="A30" t="s">
        <v>492</v>
      </c>
      <c r="B30" t="s">
        <v>493</v>
      </c>
      <c r="I30" s="9">
        <f>'2009'!C27</f>
        <v>4</v>
      </c>
      <c r="J30" s="9">
        <f>'2009'!G27</f>
        <v>26</v>
      </c>
      <c r="K30" s="14">
        <f t="shared" si="0"/>
        <v>2.18303946263644</v>
      </c>
    </row>
    <row r="31" spans="1:11" ht="12.75">
      <c r="A31" t="s">
        <v>606</v>
      </c>
      <c r="B31" t="s">
        <v>607</v>
      </c>
      <c r="C31">
        <v>1</v>
      </c>
      <c r="E31">
        <v>4</v>
      </c>
      <c r="F31">
        <v>3</v>
      </c>
      <c r="G31" s="9">
        <f>SUM(E31:F31)</f>
        <v>7</v>
      </c>
      <c r="H31" s="14">
        <f>G31/$G$88*100</f>
        <v>2.9166666666666665</v>
      </c>
      <c r="I31" s="9">
        <f>'2010'!C32+'2011'!C32+'2012'!C34+'2013'!C31</f>
        <v>5</v>
      </c>
      <c r="J31" s="9">
        <f>'2010'!G32+'2011'!G32+'2012'!G34+'2013'!G31</f>
        <v>33</v>
      </c>
      <c r="K31" s="14">
        <f t="shared" si="0"/>
        <v>2.770780856423174</v>
      </c>
    </row>
    <row r="32" spans="1:11" ht="12.75">
      <c r="A32" t="s">
        <v>660</v>
      </c>
      <c r="B32" t="s">
        <v>661</v>
      </c>
      <c r="C32">
        <v>2</v>
      </c>
      <c r="E32">
        <v>5</v>
      </c>
      <c r="F32">
        <v>11</v>
      </c>
      <c r="G32" s="9">
        <f>SUM(E32:F32)</f>
        <v>16</v>
      </c>
      <c r="H32" s="14">
        <f>G32/$G$88*100</f>
        <v>6.666666666666667</v>
      </c>
      <c r="I32" s="9">
        <f>C32</f>
        <v>2</v>
      </c>
      <c r="J32" s="9">
        <f>G32</f>
        <v>16</v>
      </c>
      <c r="K32" s="14">
        <f t="shared" si="0"/>
        <v>1.343408900083963</v>
      </c>
    </row>
    <row r="33" spans="1:11" ht="12.75">
      <c r="A33" t="s">
        <v>496</v>
      </c>
      <c r="B33" t="s">
        <v>497</v>
      </c>
      <c r="I33" s="9">
        <f>'2010'!C35+'2011'!C34</f>
        <v>2</v>
      </c>
      <c r="J33" s="9">
        <f>'2010'!G35+'2011'!G34</f>
        <v>10</v>
      </c>
      <c r="K33" s="14">
        <f t="shared" si="0"/>
        <v>0.8396305625524769</v>
      </c>
    </row>
    <row r="34" spans="1:11" ht="12.75">
      <c r="A34" t="s">
        <v>626</v>
      </c>
      <c r="B34" t="s">
        <v>627</v>
      </c>
      <c r="C34">
        <v>1</v>
      </c>
      <c r="E34">
        <v>7</v>
      </c>
      <c r="F34">
        <v>4</v>
      </c>
      <c r="G34" s="9">
        <f>SUM(E34:F34)</f>
        <v>11</v>
      </c>
      <c r="H34" s="14">
        <f>G34/$G$88*100</f>
        <v>4.583333333333333</v>
      </c>
      <c r="I34" s="9">
        <f>'2011'!C36+'2013'!C34</f>
        <v>2</v>
      </c>
      <c r="J34" s="9">
        <f>'2011'!G36+'2013'!G34</f>
        <v>16</v>
      </c>
      <c r="K34" s="14">
        <f t="shared" si="0"/>
        <v>1.343408900083963</v>
      </c>
    </row>
    <row r="35" spans="1:11" ht="12.75">
      <c r="A35" t="s">
        <v>645</v>
      </c>
      <c r="B35" t="s">
        <v>646</v>
      </c>
      <c r="I35" s="9">
        <f>'2012'!C38</f>
        <v>1</v>
      </c>
      <c r="J35" s="9">
        <f>'2012'!G38</f>
        <v>7</v>
      </c>
      <c r="K35" s="14">
        <f aca="true" t="shared" si="1" ref="K35:K66">J35/$J$88*100</f>
        <v>0.5877413937867338</v>
      </c>
    </row>
    <row r="36" spans="1:11" ht="12.75">
      <c r="A36" t="s">
        <v>662</v>
      </c>
      <c r="B36" t="s">
        <v>663</v>
      </c>
      <c r="C36">
        <v>1</v>
      </c>
      <c r="E36">
        <v>4</v>
      </c>
      <c r="F36">
        <v>3</v>
      </c>
      <c r="G36" s="9">
        <f>SUM(E36:F36)</f>
        <v>7</v>
      </c>
      <c r="H36" s="14">
        <f>G36/$G$88*100</f>
        <v>2.9166666666666665</v>
      </c>
      <c r="I36" s="9">
        <f>C36</f>
        <v>1</v>
      </c>
      <c r="J36" s="9">
        <f>G36</f>
        <v>7</v>
      </c>
      <c r="K36" s="14">
        <f t="shared" si="1"/>
        <v>0.5877413937867338</v>
      </c>
    </row>
    <row r="37" spans="1:11" ht="12.75">
      <c r="A37" t="s">
        <v>628</v>
      </c>
      <c r="B37" t="s">
        <v>609</v>
      </c>
      <c r="I37" s="9">
        <f>'2010'!C37</f>
        <v>1</v>
      </c>
      <c r="J37" s="9">
        <f>'2010'!G37</f>
        <v>7</v>
      </c>
      <c r="K37" s="14">
        <f t="shared" si="1"/>
        <v>0.5877413937867338</v>
      </c>
    </row>
    <row r="38" spans="1:11" ht="12.75">
      <c r="A38" t="s">
        <v>577</v>
      </c>
      <c r="B38" t="s">
        <v>578</v>
      </c>
      <c r="I38" s="9">
        <f>'2009'!C32</f>
        <v>1</v>
      </c>
      <c r="J38" s="9">
        <f>'2009'!G32</f>
        <v>7</v>
      </c>
      <c r="K38" s="14">
        <f t="shared" si="1"/>
        <v>0.5877413937867338</v>
      </c>
    </row>
    <row r="39" spans="1:11" ht="12.75">
      <c r="A39" t="s">
        <v>629</v>
      </c>
      <c r="B39" t="s">
        <v>630</v>
      </c>
      <c r="I39" s="9">
        <f>'2011'!C39</f>
        <v>2</v>
      </c>
      <c r="J39" s="9">
        <f>'2011'!G39</f>
        <v>11</v>
      </c>
      <c r="K39" s="14">
        <f t="shared" si="1"/>
        <v>0.9235936188077246</v>
      </c>
    </row>
    <row r="40" spans="1:11" ht="12.75">
      <c r="A40" t="s">
        <v>579</v>
      </c>
      <c r="B40" t="s">
        <v>580</v>
      </c>
      <c r="I40" s="9">
        <f>'2009'!C34</f>
        <v>1</v>
      </c>
      <c r="J40" s="9">
        <f>'2009'!G34</f>
        <v>11</v>
      </c>
      <c r="K40" s="14">
        <f t="shared" si="1"/>
        <v>0.9235936188077246</v>
      </c>
    </row>
    <row r="41" spans="1:11" ht="12.75">
      <c r="A41" t="s">
        <v>610</v>
      </c>
      <c r="B41" t="s">
        <v>611</v>
      </c>
      <c r="I41" s="9">
        <f>'2010'!C41</f>
        <v>1</v>
      </c>
      <c r="J41" s="9">
        <f>'2010'!G41</f>
        <v>10</v>
      </c>
      <c r="K41" s="14">
        <f t="shared" si="1"/>
        <v>0.8396305625524769</v>
      </c>
    </row>
    <row r="42" spans="1:11" ht="12.75">
      <c r="A42" t="s">
        <v>225</v>
      </c>
      <c r="B42" t="s">
        <v>581</v>
      </c>
      <c r="I42" s="9">
        <f>'2009'!C38+'2010'!C45+'2011'!C43</f>
        <v>4</v>
      </c>
      <c r="J42" s="9">
        <f>'2009'!G38+'2010'!G45+'2011'!G43</f>
        <v>32</v>
      </c>
      <c r="K42" s="14">
        <f t="shared" si="1"/>
        <v>2.686817800167926</v>
      </c>
    </row>
    <row r="43" spans="1:11" ht="12.75">
      <c r="A43" t="s">
        <v>647</v>
      </c>
      <c r="B43" t="s">
        <v>648</v>
      </c>
      <c r="I43" s="9">
        <f>'2012'!C45</f>
        <v>1</v>
      </c>
      <c r="J43" s="9">
        <f>'2012'!G45</f>
        <v>7</v>
      </c>
      <c r="K43" s="14">
        <f t="shared" si="1"/>
        <v>0.5877413937867338</v>
      </c>
    </row>
    <row r="44" spans="1:11" ht="12.75">
      <c r="A44" t="s">
        <v>547</v>
      </c>
      <c r="B44" t="s">
        <v>548</v>
      </c>
      <c r="I44" s="9">
        <f>'2009'!C39+'2010'!C46+'2011'!C44+'2012'!C46</f>
        <v>4</v>
      </c>
      <c r="J44" s="9">
        <f>'2009'!G39+'2010'!G46+'2011'!G44+'2012'!G46</f>
        <v>32</v>
      </c>
      <c r="K44" s="14">
        <f t="shared" si="1"/>
        <v>2.686817800167926</v>
      </c>
    </row>
    <row r="45" spans="1:11" ht="12.75">
      <c r="A45" t="s">
        <v>549</v>
      </c>
      <c r="B45" t="s">
        <v>550</v>
      </c>
      <c r="I45" s="9">
        <f>'2009'!C40+'2010'!C47</f>
        <v>2</v>
      </c>
      <c r="J45" s="9">
        <f>'2009'!G40+'2010'!G47</f>
        <v>13</v>
      </c>
      <c r="K45" s="14">
        <f t="shared" si="1"/>
        <v>1.09151973131822</v>
      </c>
    </row>
    <row r="46" spans="1:11" ht="12.75">
      <c r="A46" t="s">
        <v>631</v>
      </c>
      <c r="B46" t="s">
        <v>632</v>
      </c>
      <c r="I46" s="9">
        <f>'2011'!C46+'2012'!C48</f>
        <v>4</v>
      </c>
      <c r="J46" s="9">
        <f>'2011'!G46+'2012'!G48</f>
        <v>29</v>
      </c>
      <c r="K46" s="14">
        <f t="shared" si="1"/>
        <v>2.434928631402183</v>
      </c>
    </row>
    <row r="47" spans="1:11" ht="12.75">
      <c r="A47" t="s">
        <v>664</v>
      </c>
      <c r="B47" t="s">
        <v>665</v>
      </c>
      <c r="C47">
        <v>1</v>
      </c>
      <c r="E47">
        <v>2</v>
      </c>
      <c r="F47">
        <v>4</v>
      </c>
      <c r="G47" s="9">
        <f>SUM(E47:F47)</f>
        <v>6</v>
      </c>
      <c r="H47" s="14">
        <f>G47/$G$88*100</f>
        <v>2.5</v>
      </c>
      <c r="I47" s="9">
        <f>C47</f>
        <v>1</v>
      </c>
      <c r="J47" s="9">
        <f>G47</f>
        <v>6</v>
      </c>
      <c r="K47" s="14">
        <f t="shared" si="1"/>
        <v>0.5037783375314862</v>
      </c>
    </row>
    <row r="48" spans="1:11" ht="12.75">
      <c r="A48" t="s">
        <v>666</v>
      </c>
      <c r="B48" t="s">
        <v>667</v>
      </c>
      <c r="C48">
        <v>1</v>
      </c>
      <c r="E48">
        <v>1</v>
      </c>
      <c r="F48">
        <v>4</v>
      </c>
      <c r="G48" s="9">
        <f>SUM(E48:F48)</f>
        <v>5</v>
      </c>
      <c r="H48" s="14">
        <f>G48/$G$88*100</f>
        <v>2.083333333333333</v>
      </c>
      <c r="I48" s="9">
        <f>C48</f>
        <v>1</v>
      </c>
      <c r="J48" s="9">
        <f>G48</f>
        <v>5</v>
      </c>
      <c r="K48" s="14">
        <f t="shared" si="1"/>
        <v>0.41981528127623846</v>
      </c>
    </row>
    <row r="49" spans="1:11" ht="12.75">
      <c r="A49" t="s">
        <v>150</v>
      </c>
      <c r="B49" t="s">
        <v>668</v>
      </c>
      <c r="C49">
        <v>2</v>
      </c>
      <c r="E49">
        <v>11</v>
      </c>
      <c r="F49">
        <v>4</v>
      </c>
      <c r="G49" s="9">
        <f>SUM(E49:F49)</f>
        <v>15</v>
      </c>
      <c r="H49" s="14">
        <f>G49/$G$88*100</f>
        <v>6.25</v>
      </c>
      <c r="I49" s="9">
        <f>C49</f>
        <v>2</v>
      </c>
      <c r="J49" s="9">
        <f>G49</f>
        <v>15</v>
      </c>
      <c r="K49" s="14">
        <f t="shared" si="1"/>
        <v>1.2594458438287155</v>
      </c>
    </row>
    <row r="50" spans="1:11" ht="12.75">
      <c r="A50" t="s">
        <v>582</v>
      </c>
      <c r="B50" t="s">
        <v>583</v>
      </c>
      <c r="C50">
        <v>2</v>
      </c>
      <c r="E50">
        <v>11</v>
      </c>
      <c r="F50">
        <v>6</v>
      </c>
      <c r="G50" s="9">
        <f>SUM(E50:F50)</f>
        <v>17</v>
      </c>
      <c r="H50" s="14">
        <f>G50/$G$88*100</f>
        <v>7.083333333333333</v>
      </c>
      <c r="I50" s="9">
        <f>'2009'!C43+'2013'!C50</f>
        <v>3</v>
      </c>
      <c r="J50" s="9">
        <f>'2009'!G43+'2013'!G50</f>
        <v>19</v>
      </c>
      <c r="K50" s="14">
        <f t="shared" si="1"/>
        <v>1.595298068849706</v>
      </c>
    </row>
    <row r="51" spans="1:11" ht="12.75">
      <c r="A51" t="s">
        <v>555</v>
      </c>
      <c r="B51" t="s">
        <v>556</v>
      </c>
      <c r="I51" s="9">
        <f>'2010'!C52+'2011'!C50</f>
        <v>4</v>
      </c>
      <c r="J51" s="9">
        <f>'2010'!G52+'2011'!G50</f>
        <v>25</v>
      </c>
      <c r="K51" s="14">
        <f t="shared" si="1"/>
        <v>2.0990764063811924</v>
      </c>
    </row>
    <row r="52" spans="1:11" ht="12.75">
      <c r="A52" t="s">
        <v>501</v>
      </c>
      <c r="B52" t="s">
        <v>423</v>
      </c>
      <c r="I52" s="9">
        <f>'2010'!C56+'2011'!C52</f>
        <v>3</v>
      </c>
      <c r="J52" s="9">
        <f>'2010'!G56+'2011'!G52</f>
        <v>8</v>
      </c>
      <c r="K52" s="14">
        <f t="shared" si="1"/>
        <v>0.6717044500419815</v>
      </c>
    </row>
    <row r="53" spans="1:11" ht="12.75">
      <c r="A53" t="s">
        <v>557</v>
      </c>
      <c r="B53" t="s">
        <v>558</v>
      </c>
      <c r="C53">
        <v>1</v>
      </c>
      <c r="E53">
        <v>4</v>
      </c>
      <c r="F53">
        <v>1</v>
      </c>
      <c r="G53" s="9">
        <f>SUM(E53:F53)</f>
        <v>5</v>
      </c>
      <c r="H53" s="14">
        <f>G53/$G$88*100</f>
        <v>2.083333333333333</v>
      </c>
      <c r="I53" s="9">
        <f>C53</f>
        <v>1</v>
      </c>
      <c r="J53" s="9">
        <f>G53</f>
        <v>5</v>
      </c>
      <c r="K53" s="14">
        <f t="shared" si="1"/>
        <v>0.41981528127623846</v>
      </c>
    </row>
    <row r="54" spans="1:11" ht="12.75">
      <c r="A54" t="s">
        <v>473</v>
      </c>
      <c r="B54" t="s">
        <v>474</v>
      </c>
      <c r="I54" s="9">
        <f>'2009'!C51</f>
        <v>1</v>
      </c>
      <c r="J54" s="9">
        <f>'2009'!G51</f>
        <v>7</v>
      </c>
      <c r="K54" s="14">
        <f t="shared" si="1"/>
        <v>0.5877413937867338</v>
      </c>
    </row>
    <row r="55" spans="1:11" ht="12.75">
      <c r="A55" t="s">
        <v>669</v>
      </c>
      <c r="B55" t="s">
        <v>670</v>
      </c>
      <c r="C55">
        <v>3</v>
      </c>
      <c r="E55">
        <v>4</v>
      </c>
      <c r="F55">
        <v>9</v>
      </c>
      <c r="G55" s="9">
        <f>SUM(E55:F55)</f>
        <v>13</v>
      </c>
      <c r="H55" s="14">
        <f>G55/$G$88*100</f>
        <v>5.416666666666667</v>
      </c>
      <c r="I55" s="9">
        <f>C55</f>
        <v>3</v>
      </c>
      <c r="J55" s="9">
        <f>G55</f>
        <v>13</v>
      </c>
      <c r="K55" s="14">
        <f t="shared" si="1"/>
        <v>1.09151973131822</v>
      </c>
    </row>
    <row r="56" spans="1:11" ht="12.75">
      <c r="A56" t="s">
        <v>584</v>
      </c>
      <c r="B56" t="s">
        <v>585</v>
      </c>
      <c r="I56" s="9">
        <f>'2009'!C55</f>
        <v>1</v>
      </c>
      <c r="J56">
        <v>0</v>
      </c>
      <c r="K56" s="14">
        <f t="shared" si="1"/>
        <v>0</v>
      </c>
    </row>
    <row r="57" spans="1:11" ht="12.75">
      <c r="A57" t="s">
        <v>559</v>
      </c>
      <c r="B57" t="s">
        <v>560</v>
      </c>
      <c r="I57" s="9">
        <f>'2009'!C56</f>
        <v>1</v>
      </c>
      <c r="J57" s="9">
        <f>'2009'!G56</f>
        <v>7</v>
      </c>
      <c r="K57" s="14">
        <f t="shared" si="1"/>
        <v>0.5877413937867338</v>
      </c>
    </row>
    <row r="58" spans="1:11" ht="12.75">
      <c r="A58" t="s">
        <v>633</v>
      </c>
      <c r="B58" t="s">
        <v>634</v>
      </c>
      <c r="C58">
        <v>1</v>
      </c>
      <c r="E58">
        <v>4</v>
      </c>
      <c r="F58">
        <v>5</v>
      </c>
      <c r="G58" s="9">
        <f>SUM(E58:F58)</f>
        <v>9</v>
      </c>
      <c r="H58" s="14">
        <f>G58/$G$88*100</f>
        <v>3.75</v>
      </c>
      <c r="I58" s="9">
        <f>'2011'!C58+'2012'!C59+'2013'!C58</f>
        <v>5</v>
      </c>
      <c r="J58" s="9">
        <f>'2011'!G58+'2012'!G59+'2013'!G58</f>
        <v>40</v>
      </c>
      <c r="K58" s="14">
        <f t="shared" si="1"/>
        <v>3.3585222502099077</v>
      </c>
    </row>
    <row r="59" spans="1:11" ht="12.75">
      <c r="A59" t="s">
        <v>586</v>
      </c>
      <c r="B59" t="s">
        <v>587</v>
      </c>
      <c r="I59" s="9">
        <f>'2009'!C57+'2010'!C64+'2011'!C59+'2012'!C60</f>
        <v>8</v>
      </c>
      <c r="J59" s="9">
        <f>'2009'!G57+'2010'!G64+'2011'!G59+'2012'!G60</f>
        <v>47</v>
      </c>
      <c r="K59" s="14">
        <f t="shared" si="1"/>
        <v>3.9462636439966414</v>
      </c>
    </row>
    <row r="60" spans="1:11" ht="12.75">
      <c r="A60" t="s">
        <v>588</v>
      </c>
      <c r="B60" t="s">
        <v>589</v>
      </c>
      <c r="C60">
        <v>2</v>
      </c>
      <c r="E60">
        <v>9</v>
      </c>
      <c r="F60">
        <v>8</v>
      </c>
      <c r="G60" s="9">
        <f>SUM(E60:F60)</f>
        <v>17</v>
      </c>
      <c r="H60" s="14">
        <f>G60/$G$88*100</f>
        <v>7.083333333333333</v>
      </c>
      <c r="I60" s="9">
        <f>'2009'!C58+'2010'!C65+'2011'!C60+'2013'!C60</f>
        <v>10</v>
      </c>
      <c r="J60" s="9">
        <f>'2009'!G58+'2010'!G65+'2011'!G60+'2013'!G60</f>
        <v>59</v>
      </c>
      <c r="K60" s="69">
        <f t="shared" si="1"/>
        <v>4.953820319059614</v>
      </c>
    </row>
    <row r="61" spans="1:11" ht="12.75">
      <c r="A61" t="s">
        <v>649</v>
      </c>
      <c r="B61" t="s">
        <v>650</v>
      </c>
      <c r="I61" s="9">
        <f>'2012'!C63</f>
        <v>1</v>
      </c>
      <c r="J61" s="9">
        <f>'2012'!G63</f>
        <v>8</v>
      </c>
      <c r="K61" s="14">
        <f t="shared" si="1"/>
        <v>0.6717044500419815</v>
      </c>
    </row>
    <row r="62" spans="1:11" ht="12.75">
      <c r="A62" t="s">
        <v>612</v>
      </c>
      <c r="B62" t="s">
        <v>613</v>
      </c>
      <c r="I62" s="9">
        <f>'2010'!C67</f>
        <v>1</v>
      </c>
      <c r="J62" s="9">
        <f>'2010'!G67</f>
        <v>5</v>
      </c>
      <c r="K62" s="14">
        <f t="shared" si="1"/>
        <v>0.41981528127623846</v>
      </c>
    </row>
    <row r="63" spans="1:11" ht="12.75">
      <c r="A63" t="s">
        <v>614</v>
      </c>
      <c r="B63" t="s">
        <v>615</v>
      </c>
      <c r="I63" s="9">
        <f>'2010'!C68</f>
        <v>1</v>
      </c>
      <c r="J63" s="9">
        <f>'2010'!G68</f>
        <v>6</v>
      </c>
      <c r="K63" s="14">
        <f t="shared" si="1"/>
        <v>0.5037783375314862</v>
      </c>
    </row>
    <row r="64" spans="1:8" ht="12.75">
      <c r="A64" t="s">
        <v>502</v>
      </c>
      <c r="C64" s="9">
        <f>SUM(C3:C63)</f>
        <v>28</v>
      </c>
      <c r="E64" s="9">
        <f>SUM(E4:E63)</f>
        <v>105</v>
      </c>
      <c r="F64" s="9">
        <f>SUM(F4:F63)</f>
        <v>100</v>
      </c>
      <c r="G64" s="9">
        <f>SUM(G4:G63)</f>
        <v>205</v>
      </c>
      <c r="H64" s="14">
        <f>G64/$G$88*100</f>
        <v>85.41666666666666</v>
      </c>
    </row>
    <row r="67" spans="1:11" ht="12.75">
      <c r="A67" t="s">
        <v>671</v>
      </c>
      <c r="B67" t="s">
        <v>672</v>
      </c>
      <c r="C67">
        <v>1</v>
      </c>
      <c r="E67">
        <v>4</v>
      </c>
      <c r="F67">
        <v>1</v>
      </c>
      <c r="G67" s="9">
        <f>SUM(E67:F67)</f>
        <v>5</v>
      </c>
      <c r="H67" s="14">
        <f>G67/$G$88*100</f>
        <v>2.083333333333333</v>
      </c>
      <c r="I67" s="9">
        <f>C67</f>
        <v>1</v>
      </c>
      <c r="J67" s="9">
        <f>G67</f>
        <v>5</v>
      </c>
      <c r="K67" s="14">
        <f aca="true" t="shared" si="2" ref="K67:K83">J67/$J$88*100</f>
        <v>0.41981528127623846</v>
      </c>
    </row>
    <row r="68" spans="1:11" ht="12.75">
      <c r="A68" t="s">
        <v>590</v>
      </c>
      <c r="B68" t="s">
        <v>591</v>
      </c>
      <c r="I68" s="9">
        <f>'2009'!C65+'2010'!C74</f>
        <v>2</v>
      </c>
      <c r="J68" s="9">
        <f>'2009'!G65+'2010'!G74</f>
        <v>8</v>
      </c>
      <c r="K68" s="14">
        <f t="shared" si="2"/>
        <v>0.6717044500419815</v>
      </c>
    </row>
    <row r="69" spans="1:11" ht="12.75">
      <c r="A69" t="s">
        <v>103</v>
      </c>
      <c r="B69" t="s">
        <v>592</v>
      </c>
      <c r="I69" s="9">
        <f>'2009'!C66+'2012'!C70</f>
        <v>2</v>
      </c>
      <c r="J69" s="9">
        <f>'2009'!G66+'2012'!G70</f>
        <v>13</v>
      </c>
      <c r="K69" s="14">
        <f t="shared" si="2"/>
        <v>1.09151973131822</v>
      </c>
    </row>
    <row r="70" spans="1:11" ht="12.75">
      <c r="A70" t="s">
        <v>593</v>
      </c>
      <c r="B70" t="s">
        <v>594</v>
      </c>
      <c r="C70">
        <v>1</v>
      </c>
      <c r="E70">
        <v>2</v>
      </c>
      <c r="F70">
        <v>4</v>
      </c>
      <c r="G70" s="9">
        <f>SUM(E70:F70)</f>
        <v>6</v>
      </c>
      <c r="H70" s="14">
        <f>G70/$G$88*100</f>
        <v>2.5</v>
      </c>
      <c r="I70" s="9">
        <f>'2009'!C67+'2011'!C70+'2013'!C70</f>
        <v>4</v>
      </c>
      <c r="J70" s="9">
        <f>'2009'!G67+'2011'!G70+'2013'!G70</f>
        <v>26</v>
      </c>
      <c r="K70" s="14">
        <f t="shared" si="2"/>
        <v>2.18303946263644</v>
      </c>
    </row>
    <row r="71" spans="1:11" ht="12.75">
      <c r="A71" t="s">
        <v>651</v>
      </c>
      <c r="B71" t="s">
        <v>652</v>
      </c>
      <c r="C71">
        <v>1</v>
      </c>
      <c r="E71">
        <v>6</v>
      </c>
      <c r="F71">
        <v>2</v>
      </c>
      <c r="G71" s="9">
        <f>SUM(E71:F71)</f>
        <v>8</v>
      </c>
      <c r="H71" s="14">
        <f>G71/$G$88*100</f>
        <v>3.3333333333333335</v>
      </c>
      <c r="I71" s="9">
        <f>'2012'!C72+'2013'!C71</f>
        <v>2</v>
      </c>
      <c r="J71" s="9">
        <f>'2012'!G72+'2013'!G71</f>
        <v>16</v>
      </c>
      <c r="K71" s="14">
        <f t="shared" si="2"/>
        <v>1.343408900083963</v>
      </c>
    </row>
    <row r="72" spans="1:11" ht="12.75">
      <c r="A72" t="s">
        <v>528</v>
      </c>
      <c r="B72" t="s">
        <v>529</v>
      </c>
      <c r="I72" s="9">
        <f>'2009'!C69</f>
        <v>1</v>
      </c>
      <c r="J72" s="9">
        <f>'2009'!G69</f>
        <v>9</v>
      </c>
      <c r="K72" s="14">
        <f t="shared" si="2"/>
        <v>0.7556675062972292</v>
      </c>
    </row>
    <row r="73" spans="1:11" ht="12.75">
      <c r="A73" t="s">
        <v>673</v>
      </c>
      <c r="B73" t="s">
        <v>674</v>
      </c>
      <c r="C73">
        <v>1</v>
      </c>
      <c r="E73">
        <v>5</v>
      </c>
      <c r="F73">
        <v>1</v>
      </c>
      <c r="G73" s="9">
        <f>SUM(E73:F73)</f>
        <v>6</v>
      </c>
      <c r="H73" s="14">
        <f>G73/$G$88*100</f>
        <v>2.5</v>
      </c>
      <c r="I73" s="9">
        <f>C73</f>
        <v>1</v>
      </c>
      <c r="J73" s="9">
        <f>G73</f>
        <v>6</v>
      </c>
      <c r="K73" s="14">
        <f t="shared" si="2"/>
        <v>0.5037783375314862</v>
      </c>
    </row>
    <row r="74" spans="1:11" ht="12.75">
      <c r="A74" t="s">
        <v>503</v>
      </c>
      <c r="B74" t="s">
        <v>504</v>
      </c>
      <c r="I74" s="9">
        <f>'2009'!C70+'2010'!C79+'2011'!C72+'2012'!C74</f>
        <v>7</v>
      </c>
      <c r="J74" s="9">
        <f>'2009'!G70+'2010'!G79+'2011'!G72+'2012'!G74</f>
        <v>55</v>
      </c>
      <c r="K74" s="14">
        <f t="shared" si="2"/>
        <v>4.6179680940386225</v>
      </c>
    </row>
    <row r="75" spans="1:11" ht="12.75">
      <c r="A75" t="s">
        <v>616</v>
      </c>
      <c r="B75" t="s">
        <v>617</v>
      </c>
      <c r="I75" s="9">
        <f>'2010'!C80+'2012'!C75</f>
        <v>2</v>
      </c>
      <c r="J75" s="9">
        <f>'2010'!G80+'2012'!G75</f>
        <v>3</v>
      </c>
      <c r="K75" s="14">
        <f t="shared" si="2"/>
        <v>0.2518891687657431</v>
      </c>
    </row>
    <row r="76" spans="1:11" ht="12.75">
      <c r="A76" t="s">
        <v>602</v>
      </c>
      <c r="B76" t="s">
        <v>603</v>
      </c>
      <c r="I76" s="9">
        <f>'2011'!C74+'2012'!C76</f>
        <v>2</v>
      </c>
      <c r="J76" s="9">
        <f>'2011'!G74+'2012'!G76</f>
        <v>9</v>
      </c>
      <c r="K76" s="14">
        <f t="shared" si="2"/>
        <v>0.7556675062972292</v>
      </c>
    </row>
    <row r="77" spans="1:11" ht="12.75">
      <c r="A77" t="s">
        <v>653</v>
      </c>
      <c r="B77" t="s">
        <v>654</v>
      </c>
      <c r="I77" s="9">
        <f>'2012'!C77</f>
        <v>1</v>
      </c>
      <c r="J77" s="9">
        <f>'2012'!G77</f>
        <v>6</v>
      </c>
      <c r="K77" s="14">
        <f t="shared" si="2"/>
        <v>0.5037783375314862</v>
      </c>
    </row>
    <row r="78" spans="1:11" ht="12.75">
      <c r="A78" t="s">
        <v>618</v>
      </c>
      <c r="B78" t="s">
        <v>619</v>
      </c>
      <c r="I78" s="9">
        <f>'2010'!C81</f>
        <v>1</v>
      </c>
      <c r="J78" s="9">
        <f>'2010'!G81</f>
        <v>1</v>
      </c>
      <c r="K78" s="14">
        <f t="shared" si="2"/>
        <v>0.08396305625524769</v>
      </c>
    </row>
    <row r="79" spans="1:11" ht="12.75">
      <c r="A79" t="s">
        <v>543</v>
      </c>
      <c r="B79" t="s">
        <v>544</v>
      </c>
      <c r="I79" s="9">
        <f>'2011'!C76</f>
        <v>1</v>
      </c>
      <c r="J79" s="9">
        <f>'2011'!G76</f>
        <v>10</v>
      </c>
      <c r="K79" s="69">
        <f t="shared" si="2"/>
        <v>0.8396305625524769</v>
      </c>
    </row>
    <row r="80" spans="1:11" ht="12.75">
      <c r="A80" t="s">
        <v>655</v>
      </c>
      <c r="B80" t="s">
        <v>656</v>
      </c>
      <c r="I80" s="9">
        <f>'2012'!C80</f>
        <v>1</v>
      </c>
      <c r="J80" s="9">
        <f>'2012'!G80</f>
        <v>7</v>
      </c>
      <c r="K80" s="14">
        <f t="shared" si="2"/>
        <v>0.5877413937867338</v>
      </c>
    </row>
    <row r="81" spans="1:11" ht="12.75">
      <c r="A81" t="s">
        <v>545</v>
      </c>
      <c r="B81" t="s">
        <v>546</v>
      </c>
      <c r="I81" s="9">
        <f>'2009'!C71</f>
        <v>1</v>
      </c>
      <c r="J81" s="9">
        <f>'2009'!G71</f>
        <v>6</v>
      </c>
      <c r="K81" s="14">
        <f t="shared" si="2"/>
        <v>0.5037783375314862</v>
      </c>
    </row>
    <row r="82" spans="1:11" ht="12.75">
      <c r="A82" t="s">
        <v>675</v>
      </c>
      <c r="B82" t="s">
        <v>676</v>
      </c>
      <c r="C82">
        <v>1</v>
      </c>
      <c r="E82">
        <v>3</v>
      </c>
      <c r="F82">
        <v>3</v>
      </c>
      <c r="G82" s="9">
        <f>SUM(E82:F82)</f>
        <v>6</v>
      </c>
      <c r="H82" s="14">
        <f>G82/$G$88*100</f>
        <v>2.5</v>
      </c>
      <c r="I82" s="9">
        <f>C82</f>
        <v>1</v>
      </c>
      <c r="J82" s="9">
        <f>G82</f>
        <v>6</v>
      </c>
      <c r="K82" s="14">
        <f t="shared" si="2"/>
        <v>0.5037783375314862</v>
      </c>
    </row>
    <row r="83" spans="1:11" ht="12.75">
      <c r="A83" t="s">
        <v>595</v>
      </c>
      <c r="B83" t="s">
        <v>596</v>
      </c>
      <c r="I83" s="9">
        <f>'2009'!C80+'2011'!C81</f>
        <v>2</v>
      </c>
      <c r="J83" s="9">
        <f>'2009'!G80+'2011'!G81</f>
        <v>4</v>
      </c>
      <c r="K83" s="14">
        <f t="shared" si="2"/>
        <v>0.33585222502099077</v>
      </c>
    </row>
    <row r="84" ht="12.75">
      <c r="A84" t="s">
        <v>511</v>
      </c>
    </row>
    <row r="85" spans="1:8" ht="12.75">
      <c r="A85" t="s">
        <v>531</v>
      </c>
      <c r="C85" s="9">
        <f>SUM(C67:C84)</f>
        <v>5</v>
      </c>
      <c r="E85" s="9">
        <f>SUM(E67:E84)</f>
        <v>20</v>
      </c>
      <c r="F85" s="9">
        <f>SUM(F67:F84)</f>
        <v>11</v>
      </c>
      <c r="G85" s="9">
        <f>SUM(E85:F85)</f>
        <v>31</v>
      </c>
      <c r="H85" s="14">
        <f>G85/$G$88*100</f>
        <v>12.916666666666668</v>
      </c>
    </row>
    <row r="87" spans="1:11" ht="12.75">
      <c r="A87" t="s">
        <v>462</v>
      </c>
      <c r="C87" s="9">
        <f>G87</f>
        <v>4</v>
      </c>
      <c r="F87">
        <v>4</v>
      </c>
      <c r="G87">
        <v>4</v>
      </c>
      <c r="H87" s="14">
        <f>G87/$G$88*100</f>
        <v>1.6666666666666667</v>
      </c>
      <c r="J87" s="9">
        <f>'2009'!G85+'2010'!G96+'2011'!G85+'2012'!G87+'2013'!G87</f>
        <v>28</v>
      </c>
      <c r="K87" s="14">
        <f>J87/$J$88*100</f>
        <v>2.3509655751469354</v>
      </c>
    </row>
    <row r="88" spans="1:11" ht="12.75">
      <c r="A88" t="s">
        <v>533</v>
      </c>
      <c r="E88" s="9">
        <f>E64+E85+E87</f>
        <v>125</v>
      </c>
      <c r="F88" s="9">
        <f>F64+F85+F87</f>
        <v>115</v>
      </c>
      <c r="G88" s="9">
        <f>G64+G85+G87</f>
        <v>240</v>
      </c>
      <c r="H88" s="14">
        <f>G88/$G$88*100</f>
        <v>100</v>
      </c>
      <c r="J88" s="9">
        <f>SUM(J3:J87)</f>
        <v>1191</v>
      </c>
      <c r="K88" s="14">
        <f>SUM(K3:K87)</f>
        <v>99.99999999999997</v>
      </c>
    </row>
    <row r="90" ht="12.75">
      <c r="J90" s="9">
        <f>'2009'!G86+'2010'!G97+'2011'!G86+'2012'!G88+'2013'!G88</f>
        <v>1191</v>
      </c>
    </row>
    <row r="91" spans="1:2" ht="12.75">
      <c r="A91" t="s">
        <v>6</v>
      </c>
      <c r="B91">
        <v>26</v>
      </c>
    </row>
    <row r="92" spans="1:2" ht="12.75">
      <c r="A92" t="s">
        <v>7</v>
      </c>
      <c r="B92" s="9">
        <f>C64+C85+C87</f>
        <v>37</v>
      </c>
    </row>
    <row r="93" spans="1:2" ht="12.75">
      <c r="A93" t="s">
        <v>563</v>
      </c>
      <c r="B93" s="9">
        <f>4*(B91*B92)/(B91+B92)</f>
        <v>61.07936507936508</v>
      </c>
    </row>
    <row r="95" spans="1:2" ht="12.75">
      <c r="A95" t="s">
        <v>564</v>
      </c>
      <c r="B95" s="9">
        <f>(B93/B92)*50</f>
        <v>82.53968253968254</v>
      </c>
    </row>
    <row r="98" ht="12.75">
      <c r="A98" t="s">
        <v>534</v>
      </c>
    </row>
    <row r="100" spans="1:2" ht="12.75">
      <c r="A100" t="s">
        <v>6</v>
      </c>
      <c r="B100" s="9">
        <f>'2009'!B90+'2010'!B101+'2011'!B89+'2012'!B91+'2013'!B91</f>
        <v>144</v>
      </c>
    </row>
    <row r="101" spans="1:2" ht="12.75">
      <c r="A101" t="s">
        <v>7</v>
      </c>
      <c r="B101" s="9">
        <f>'2009'!B91+'2010'!B102+'2011'!B90+'2012'!B91+'2013'!B91</f>
        <v>182</v>
      </c>
    </row>
    <row r="102" spans="1:2" ht="12.75">
      <c r="A102" t="s">
        <v>563</v>
      </c>
      <c r="B102" s="9">
        <f>4*(B100*B101)/(B100+B101)</f>
        <v>321.57055214723925</v>
      </c>
    </row>
    <row r="104" spans="1:2" ht="12.75">
      <c r="A104" t="s">
        <v>564</v>
      </c>
      <c r="B104" s="9">
        <f>(B102/B101)*50</f>
        <v>88.34355828220859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97"/>
  <sheetViews>
    <sheetView zoomScale="90" zoomScaleNormal="90" zoomScalePageLayoutView="0" workbookViewId="0" topLeftCell="A1">
      <pane xSplit="2" ySplit="2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L8" sqref="L8"/>
    </sheetView>
  </sheetViews>
  <sheetFormatPr defaultColWidth="9.140625" defaultRowHeight="12.75"/>
  <cols>
    <col min="1" max="1" width="22.28125" style="0" customWidth="1"/>
    <col min="2" max="2" width="13.7109375" style="0" customWidth="1"/>
    <col min="5" max="5" width="11.00390625" style="0" customWidth="1"/>
    <col min="6" max="6" width="10.8515625" style="0" customWidth="1"/>
    <col min="8" max="8" width="11.7109375" style="0" customWidth="1"/>
    <col min="10" max="10" width="12.28125" style="0" customWidth="1"/>
    <col min="12" max="12" width="11.28125" style="0" customWidth="1"/>
  </cols>
  <sheetData>
    <row r="1" spans="1:12" ht="12.75" customHeight="1">
      <c r="A1" s="73" t="s">
        <v>0</v>
      </c>
      <c r="B1" s="74">
        <v>2014</v>
      </c>
      <c r="C1" s="106" t="s">
        <v>4</v>
      </c>
      <c r="D1" s="107" t="s">
        <v>368</v>
      </c>
      <c r="E1" s="106" t="s">
        <v>6</v>
      </c>
      <c r="F1" s="106" t="s">
        <v>7</v>
      </c>
      <c r="G1" s="73"/>
      <c r="H1" s="75"/>
      <c r="I1" s="106" t="s">
        <v>294</v>
      </c>
      <c r="J1" s="106" t="s">
        <v>295</v>
      </c>
      <c r="K1" s="109" t="s">
        <v>322</v>
      </c>
      <c r="L1" s="108" t="s">
        <v>13</v>
      </c>
    </row>
    <row r="2" spans="1:12" ht="34.5">
      <c r="A2" s="76" t="s">
        <v>431</v>
      </c>
      <c r="B2" s="76" t="s">
        <v>3</v>
      </c>
      <c r="C2" s="106"/>
      <c r="D2" s="107"/>
      <c r="E2" s="106"/>
      <c r="F2" s="106"/>
      <c r="G2" s="73" t="s">
        <v>8</v>
      </c>
      <c r="H2" s="75" t="s">
        <v>9</v>
      </c>
      <c r="I2" s="106"/>
      <c r="J2" s="106"/>
      <c r="K2" s="109"/>
      <c r="L2" s="108"/>
    </row>
    <row r="3" spans="1:11" ht="12.75">
      <c r="A3" t="s">
        <v>657</v>
      </c>
      <c r="B3" t="s">
        <v>658</v>
      </c>
      <c r="I3" s="9">
        <f>'2013'!C4</f>
        <v>1</v>
      </c>
      <c r="J3" s="9">
        <f>'2013'!G4</f>
        <v>9</v>
      </c>
      <c r="K3" s="14">
        <f aca="true" t="shared" si="0" ref="K3:K34">J3/$J$81*100</f>
        <v>0.7846556233653008</v>
      </c>
    </row>
    <row r="4" spans="1:11" ht="12.75">
      <c r="A4" t="s">
        <v>598</v>
      </c>
      <c r="B4" t="s">
        <v>599</v>
      </c>
      <c r="I4" s="9">
        <f>'2010'!C4+'2011'!C4+'2013'!C5</f>
        <v>3</v>
      </c>
      <c r="J4" s="9">
        <f>'2010'!G4+'2013'!G5</f>
        <v>14</v>
      </c>
      <c r="K4" s="14">
        <f t="shared" si="0"/>
        <v>1.2205754141238012</v>
      </c>
    </row>
    <row r="5" spans="1:11" ht="12.75">
      <c r="A5" t="s">
        <v>677</v>
      </c>
      <c r="B5" t="s">
        <v>678</v>
      </c>
      <c r="C5">
        <v>1</v>
      </c>
      <c r="E5">
        <v>3</v>
      </c>
      <c r="F5">
        <v>2</v>
      </c>
      <c r="G5" s="9">
        <f>SUM(E5:F5)</f>
        <v>5</v>
      </c>
      <c r="H5" s="14">
        <f>G5/$G$81*100</f>
        <v>2.100840336134454</v>
      </c>
      <c r="I5" s="9">
        <f>C5</f>
        <v>1</v>
      </c>
      <c r="J5" s="9">
        <f>G5</f>
        <v>5</v>
      </c>
      <c r="K5" s="14">
        <f t="shared" si="0"/>
        <v>0.4359197907585004</v>
      </c>
    </row>
    <row r="6" spans="1:11" ht="12.75">
      <c r="A6" t="s">
        <v>635</v>
      </c>
      <c r="B6" t="s">
        <v>636</v>
      </c>
      <c r="C6">
        <v>1</v>
      </c>
      <c r="E6">
        <v>6</v>
      </c>
      <c r="F6">
        <v>3</v>
      </c>
      <c r="G6" s="9">
        <f>SUM(E6:F6)</f>
        <v>9</v>
      </c>
      <c r="H6" s="14">
        <f>G6/$G$81*100</f>
        <v>3.7815126050420167</v>
      </c>
      <c r="I6" s="9">
        <f>'2012'!C6+'2014'!C6</f>
        <v>2</v>
      </c>
      <c r="J6" s="9">
        <f>'2012'!G6+'2014'!G6</f>
        <v>16</v>
      </c>
      <c r="K6" s="14">
        <f t="shared" si="0"/>
        <v>1.3949433304272014</v>
      </c>
    </row>
    <row r="7" spans="1:11" ht="12.75">
      <c r="A7" t="s">
        <v>518</v>
      </c>
      <c r="B7" t="s">
        <v>519</v>
      </c>
      <c r="H7" s="14"/>
      <c r="I7" s="9">
        <f>'2010'!C8</f>
        <v>1</v>
      </c>
      <c r="J7" s="9">
        <f>'2010'!G8</f>
        <v>4</v>
      </c>
      <c r="K7" s="14">
        <f t="shared" si="0"/>
        <v>0.34873583260680036</v>
      </c>
    </row>
    <row r="8" spans="1:11" ht="12.75">
      <c r="A8" t="s">
        <v>679</v>
      </c>
      <c r="B8" t="s">
        <v>680</v>
      </c>
      <c r="C8">
        <v>1</v>
      </c>
      <c r="E8">
        <v>2</v>
      </c>
      <c r="F8">
        <v>2</v>
      </c>
      <c r="G8" s="9">
        <f>SUM(E8:F8)</f>
        <v>4</v>
      </c>
      <c r="H8" s="14">
        <f>G8/$G$81*100</f>
        <v>1.680672268907563</v>
      </c>
      <c r="I8" s="9">
        <f>'2014'!C8</f>
        <v>1</v>
      </c>
      <c r="J8" s="9">
        <f>G8</f>
        <v>4</v>
      </c>
      <c r="K8" s="14">
        <f t="shared" si="0"/>
        <v>0.34873583260680036</v>
      </c>
    </row>
    <row r="9" spans="1:11" ht="12.75">
      <c r="A9" t="s">
        <v>600</v>
      </c>
      <c r="B9" t="s">
        <v>601</v>
      </c>
      <c r="H9" s="14"/>
      <c r="I9" s="9">
        <f>'2010'!C12+'2011'!C11+'2012'!C11+'2014'!C9</f>
        <v>6</v>
      </c>
      <c r="J9" s="9">
        <f>'2010'!G12+'2011'!G11+'2012'!G11+'2014'!G9</f>
        <v>14</v>
      </c>
      <c r="K9" s="14">
        <f t="shared" si="0"/>
        <v>1.2205754141238012</v>
      </c>
    </row>
    <row r="10" spans="1:11" ht="12.75">
      <c r="A10" t="s">
        <v>622</v>
      </c>
      <c r="B10" t="s">
        <v>623</v>
      </c>
      <c r="H10" s="14"/>
      <c r="I10" s="9">
        <f>'2011'!C13</f>
        <v>1</v>
      </c>
      <c r="J10" s="9">
        <f>'2011'!G13</f>
        <v>7</v>
      </c>
      <c r="K10" s="14">
        <f t="shared" si="0"/>
        <v>0.6102877070619006</v>
      </c>
    </row>
    <row r="11" spans="1:11" ht="12.75">
      <c r="A11" t="s">
        <v>624</v>
      </c>
      <c r="B11" t="s">
        <v>625</v>
      </c>
      <c r="C11">
        <v>2</v>
      </c>
      <c r="E11">
        <v>7</v>
      </c>
      <c r="F11">
        <v>5</v>
      </c>
      <c r="G11" s="9">
        <f>SUM(E11:F11)</f>
        <v>12</v>
      </c>
      <c r="H11" s="14">
        <f>G11/$G$81*100</f>
        <v>5.042016806722689</v>
      </c>
      <c r="I11" s="9">
        <f>'2011'!C15+'2012'!C15+'2013'!C15+'2014'!C11</f>
        <v>7</v>
      </c>
      <c r="J11" s="9">
        <f>'2011'!G15+'2012'!G15+'2013'!G15+'2014'!G11</f>
        <v>38</v>
      </c>
      <c r="K11" s="14">
        <f t="shared" si="0"/>
        <v>3.3129904097646032</v>
      </c>
    </row>
    <row r="12" spans="1:11" ht="12.75">
      <c r="A12" t="s">
        <v>602</v>
      </c>
      <c r="B12" t="s">
        <v>603</v>
      </c>
      <c r="H12" s="14"/>
      <c r="I12" s="9">
        <f>'2010'!C16+'2011'!C17+'2012'!C17+'2013'!C16</f>
        <v>8</v>
      </c>
      <c r="J12" s="9">
        <f>'2010'!G16+'2011'!G17+'2012'!G17+'2013'!G16</f>
        <v>35</v>
      </c>
      <c r="K12" s="14">
        <f t="shared" si="0"/>
        <v>3.051438535309503</v>
      </c>
    </row>
    <row r="13" spans="1:11" ht="12.75">
      <c r="A13" t="s">
        <v>569</v>
      </c>
      <c r="B13" t="s">
        <v>570</v>
      </c>
      <c r="H13" s="14"/>
      <c r="I13" s="9">
        <f>'2010'!C17</f>
        <v>1</v>
      </c>
      <c r="J13" s="9">
        <f>'2010'!G17</f>
        <v>6</v>
      </c>
      <c r="K13" s="14">
        <f t="shared" si="0"/>
        <v>0.5231037489102005</v>
      </c>
    </row>
    <row r="14" spans="1:11" ht="12.75">
      <c r="A14" t="s">
        <v>571</v>
      </c>
      <c r="B14" t="s">
        <v>572</v>
      </c>
      <c r="H14" s="14"/>
      <c r="I14" s="9">
        <f>'2012'!C20+'2013'!C18+'2014'!C14</f>
        <v>3</v>
      </c>
      <c r="J14" s="9">
        <f>'2012'!G20+'2013'!G18</f>
        <v>22</v>
      </c>
      <c r="K14" s="14">
        <f t="shared" si="0"/>
        <v>1.918047079337402</v>
      </c>
    </row>
    <row r="15" spans="1:11" ht="12.75">
      <c r="A15" t="s">
        <v>541</v>
      </c>
      <c r="B15" t="s">
        <v>542</v>
      </c>
      <c r="H15" s="14"/>
      <c r="I15" s="9">
        <f>'2010'!C21</f>
        <v>1</v>
      </c>
      <c r="J15" s="9">
        <f>'2010'!G21</f>
        <v>11</v>
      </c>
      <c r="K15" s="14">
        <f t="shared" si="0"/>
        <v>0.959023539668701</v>
      </c>
    </row>
    <row r="16" spans="1:11" ht="12.75">
      <c r="A16" t="s">
        <v>573</v>
      </c>
      <c r="B16" t="s">
        <v>574</v>
      </c>
      <c r="H16" s="14"/>
      <c r="I16" s="9">
        <f>'2010'!C24</f>
        <v>2</v>
      </c>
      <c r="J16" s="9">
        <f>'2010'!G24</f>
        <v>13</v>
      </c>
      <c r="K16" s="14">
        <f t="shared" si="0"/>
        <v>1.1333914559721012</v>
      </c>
    </row>
    <row r="17" spans="1:11" ht="12.75">
      <c r="A17" t="s">
        <v>639</v>
      </c>
      <c r="B17" t="s">
        <v>640</v>
      </c>
      <c r="C17">
        <v>3</v>
      </c>
      <c r="E17">
        <v>8</v>
      </c>
      <c r="F17">
        <v>12</v>
      </c>
      <c r="G17" s="9">
        <f>SUM(E17:F17)</f>
        <v>20</v>
      </c>
      <c r="H17" s="14">
        <f>G17/$G$81*100</f>
        <v>8.403361344537815</v>
      </c>
      <c r="I17" s="9">
        <f>'2012'!C25+'2013'!C23+'2014'!C17</f>
        <v>8</v>
      </c>
      <c r="J17" s="9">
        <f>'2012'!G25+'2013'!G23+'2014'!G17</f>
        <v>61</v>
      </c>
      <c r="K17" s="72">
        <f t="shared" si="0"/>
        <v>5.3182214472537055</v>
      </c>
    </row>
    <row r="18" spans="1:11" ht="12.75">
      <c r="A18" t="s">
        <v>641</v>
      </c>
      <c r="B18" t="s">
        <v>659</v>
      </c>
      <c r="C18">
        <v>1</v>
      </c>
      <c r="E18">
        <v>4</v>
      </c>
      <c r="F18">
        <v>0</v>
      </c>
      <c r="G18" s="9">
        <f>SUM(E18:F18)</f>
        <v>4</v>
      </c>
      <c r="H18" s="14">
        <f>G18/$G$81*100</f>
        <v>1.680672268907563</v>
      </c>
      <c r="I18" s="9">
        <f>'2012'!C26+'2014'!C18</f>
        <v>4</v>
      </c>
      <c r="J18" s="9">
        <f>'2012'!G26+'2014'!G18</f>
        <v>22</v>
      </c>
      <c r="K18" s="14">
        <f t="shared" si="0"/>
        <v>1.918047079337402</v>
      </c>
    </row>
    <row r="19" spans="1:11" ht="12.75">
      <c r="A19" t="s">
        <v>543</v>
      </c>
      <c r="B19" t="s">
        <v>544</v>
      </c>
      <c r="H19" s="14"/>
      <c r="I19" s="9">
        <f>'2010'!C26+'2011'!C26+'2014'!C19</f>
        <v>4</v>
      </c>
      <c r="J19" s="9">
        <f>'2010'!G26+'2011'!G26</f>
        <v>27</v>
      </c>
      <c r="K19" s="14">
        <f t="shared" si="0"/>
        <v>2.353966870095902</v>
      </c>
    </row>
    <row r="20" spans="1:11" ht="12.75">
      <c r="A20" t="s">
        <v>604</v>
      </c>
      <c r="B20" t="s">
        <v>605</v>
      </c>
      <c r="H20" s="14"/>
      <c r="I20" s="9">
        <f>'2010'!C28+'2011'!C28+'2014'!C20</f>
        <v>3</v>
      </c>
      <c r="J20" s="9">
        <f>'2010'!G28+'2011'!G28</f>
        <v>16</v>
      </c>
      <c r="K20" s="14">
        <f t="shared" si="0"/>
        <v>1.3949433304272014</v>
      </c>
    </row>
    <row r="21" spans="1:11" ht="12.75">
      <c r="A21" t="s">
        <v>643</v>
      </c>
      <c r="B21" t="s">
        <v>644</v>
      </c>
      <c r="C21">
        <v>1</v>
      </c>
      <c r="E21">
        <v>1</v>
      </c>
      <c r="F21">
        <v>6</v>
      </c>
      <c r="G21" s="9">
        <f>SUM(E21:F21)</f>
        <v>7</v>
      </c>
      <c r="H21" s="14">
        <f>G21/$G$81*100</f>
        <v>2.941176470588235</v>
      </c>
      <c r="I21" s="9">
        <f>'2012'!C30+'2013'!C28+'2014'!C21</f>
        <v>5</v>
      </c>
      <c r="J21" s="9">
        <f>'2012'!G30+'2013'!G28+'2014'!G21</f>
        <v>38</v>
      </c>
      <c r="K21" s="14">
        <f t="shared" si="0"/>
        <v>3.3129904097646032</v>
      </c>
    </row>
    <row r="22" spans="1:11" ht="12.75">
      <c r="A22" t="s">
        <v>606</v>
      </c>
      <c r="B22" t="s">
        <v>607</v>
      </c>
      <c r="C22">
        <v>1</v>
      </c>
      <c r="E22">
        <v>4</v>
      </c>
      <c r="F22">
        <v>3</v>
      </c>
      <c r="G22" s="9">
        <f>SUM(E22:F22)</f>
        <v>7</v>
      </c>
      <c r="H22" s="14">
        <f>G22/$G$81*100</f>
        <v>2.941176470588235</v>
      </c>
      <c r="I22" s="9">
        <f>'2010'!C32+'2011'!C32+'2012'!C34+'2013'!C31+'2014'!C22+C22</f>
        <v>7</v>
      </c>
      <c r="J22" s="9">
        <f>'2010'!G32+'2011'!G32+'2012'!G34+'2013'!G31+G22</f>
        <v>40</v>
      </c>
      <c r="K22" s="14">
        <f t="shared" si="0"/>
        <v>3.4873583260680032</v>
      </c>
    </row>
    <row r="23" spans="1:11" ht="12.75">
      <c r="A23" t="s">
        <v>660</v>
      </c>
      <c r="B23" t="s">
        <v>661</v>
      </c>
      <c r="C23">
        <v>2</v>
      </c>
      <c r="E23">
        <v>5</v>
      </c>
      <c r="F23">
        <v>6</v>
      </c>
      <c r="G23" s="9">
        <f>SUM(E23:F23)</f>
        <v>11</v>
      </c>
      <c r="H23" s="14">
        <f>G23/$G$81*100</f>
        <v>4.621848739495799</v>
      </c>
      <c r="I23" s="9">
        <f>'2013'!C32+'2014'!C23</f>
        <v>4</v>
      </c>
      <c r="J23" s="9">
        <f>'2013'!G32+'2014'!G23</f>
        <v>27</v>
      </c>
      <c r="K23" s="14">
        <f t="shared" si="0"/>
        <v>2.353966870095902</v>
      </c>
    </row>
    <row r="24" spans="1:11" ht="12.75">
      <c r="A24" t="s">
        <v>496</v>
      </c>
      <c r="B24" t="s">
        <v>497</v>
      </c>
      <c r="H24" s="14"/>
      <c r="I24" s="9">
        <f>'2010'!C35+'2011'!C34+'2014'!C24</f>
        <v>2</v>
      </c>
      <c r="J24" s="9">
        <f>'2010'!G35+'2011'!G34</f>
        <v>10</v>
      </c>
      <c r="K24" s="14">
        <f t="shared" si="0"/>
        <v>0.8718395815170008</v>
      </c>
    </row>
    <row r="25" spans="1:11" ht="12.75">
      <c r="A25" t="s">
        <v>626</v>
      </c>
      <c r="B25" t="s">
        <v>627</v>
      </c>
      <c r="H25" s="14"/>
      <c r="I25" s="9">
        <f>'2011'!C36+'2013'!C34</f>
        <v>2</v>
      </c>
      <c r="J25" s="9">
        <f>'2011'!G36+'2013'!G34</f>
        <v>16</v>
      </c>
      <c r="K25" s="14">
        <f t="shared" si="0"/>
        <v>1.3949433304272014</v>
      </c>
    </row>
    <row r="26" spans="1:11" ht="12.75">
      <c r="A26" t="s">
        <v>645</v>
      </c>
      <c r="B26" t="s">
        <v>646</v>
      </c>
      <c r="H26" s="14"/>
      <c r="I26" s="9">
        <f>'2012'!C38</f>
        <v>1</v>
      </c>
      <c r="J26" s="9">
        <f>'2012'!G38</f>
        <v>7</v>
      </c>
      <c r="K26" s="14">
        <f t="shared" si="0"/>
        <v>0.6102877070619006</v>
      </c>
    </row>
    <row r="27" spans="1:11" ht="12.75">
      <c r="A27" t="s">
        <v>662</v>
      </c>
      <c r="B27" t="s">
        <v>663</v>
      </c>
      <c r="C27">
        <v>1</v>
      </c>
      <c r="E27">
        <v>2</v>
      </c>
      <c r="F27">
        <v>5</v>
      </c>
      <c r="G27" s="9">
        <f>SUM(E27:F27)</f>
        <v>7</v>
      </c>
      <c r="H27" s="14">
        <f>G27/$G$81*100</f>
        <v>2.941176470588235</v>
      </c>
      <c r="I27" s="9">
        <f>'2013'!C36+'2014'!C27</f>
        <v>2</v>
      </c>
      <c r="J27" s="9">
        <f>'2013'!G36+'2014'!G27</f>
        <v>14</v>
      </c>
      <c r="K27" s="14">
        <f t="shared" si="0"/>
        <v>1.2205754141238012</v>
      </c>
    </row>
    <row r="28" spans="1:11" ht="12.75">
      <c r="A28" t="s">
        <v>628</v>
      </c>
      <c r="B28" t="s">
        <v>609</v>
      </c>
      <c r="H28" s="14"/>
      <c r="I28" s="9">
        <f>'2010'!C37</f>
        <v>1</v>
      </c>
      <c r="J28" s="9">
        <f>'2010'!G37</f>
        <v>7</v>
      </c>
      <c r="K28" s="14">
        <f t="shared" si="0"/>
        <v>0.6102877070619006</v>
      </c>
    </row>
    <row r="29" spans="1:11" ht="12.75">
      <c r="A29" t="s">
        <v>681</v>
      </c>
      <c r="B29" t="s">
        <v>682</v>
      </c>
      <c r="C29">
        <v>2</v>
      </c>
      <c r="E29">
        <v>6</v>
      </c>
      <c r="F29">
        <v>12</v>
      </c>
      <c r="G29" s="9">
        <f>SUM(E29:F29)</f>
        <v>18</v>
      </c>
      <c r="H29" s="14">
        <f>G29/$G$81*100</f>
        <v>7.563025210084033</v>
      </c>
      <c r="I29" s="9">
        <f>C29</f>
        <v>2</v>
      </c>
      <c r="J29" s="9">
        <f>G29</f>
        <v>18</v>
      </c>
      <c r="K29" s="14">
        <f t="shared" si="0"/>
        <v>1.5693112467306016</v>
      </c>
    </row>
    <row r="30" spans="1:11" ht="12.75">
      <c r="A30" t="s">
        <v>629</v>
      </c>
      <c r="B30" t="s">
        <v>630</v>
      </c>
      <c r="H30" s="14"/>
      <c r="I30" s="9">
        <f>'2011'!C39</f>
        <v>2</v>
      </c>
      <c r="J30" s="9">
        <f>'2011'!G39</f>
        <v>11</v>
      </c>
      <c r="K30" s="14">
        <f t="shared" si="0"/>
        <v>0.959023539668701</v>
      </c>
    </row>
    <row r="31" spans="1:11" ht="12.75">
      <c r="A31" t="s">
        <v>683</v>
      </c>
      <c r="B31" t="s">
        <v>684</v>
      </c>
      <c r="C31">
        <v>1</v>
      </c>
      <c r="E31">
        <v>6</v>
      </c>
      <c r="F31">
        <v>3</v>
      </c>
      <c r="G31" s="9">
        <f>SUM(E31:F31)</f>
        <v>9</v>
      </c>
      <c r="H31" s="14">
        <f>G31/$G$81*100</f>
        <v>3.7815126050420167</v>
      </c>
      <c r="I31" s="9">
        <f>C31</f>
        <v>1</v>
      </c>
      <c r="J31" s="9">
        <f>G31</f>
        <v>9</v>
      </c>
      <c r="K31" s="14">
        <f t="shared" si="0"/>
        <v>0.7846556233653008</v>
      </c>
    </row>
    <row r="32" spans="1:11" ht="12.75">
      <c r="A32" t="s">
        <v>610</v>
      </c>
      <c r="B32" t="s">
        <v>611</v>
      </c>
      <c r="H32" s="14"/>
      <c r="I32" s="9">
        <f>'2010'!C41</f>
        <v>1</v>
      </c>
      <c r="J32" s="9">
        <f>'2010'!G41</f>
        <v>10</v>
      </c>
      <c r="K32" s="14">
        <f t="shared" si="0"/>
        <v>0.8718395815170008</v>
      </c>
    </row>
    <row r="33" spans="1:11" ht="12.75">
      <c r="A33" t="s">
        <v>225</v>
      </c>
      <c r="B33" t="s">
        <v>581</v>
      </c>
      <c r="H33" s="14"/>
      <c r="I33" s="9">
        <f>'2010'!C45+'2011'!C43+'2014'!C33</f>
        <v>3</v>
      </c>
      <c r="J33" s="9">
        <f>'2010'!G45+'2011'!G43</f>
        <v>23</v>
      </c>
      <c r="K33" s="14">
        <f t="shared" si="0"/>
        <v>2.0052310374891023</v>
      </c>
    </row>
    <row r="34" spans="1:11" ht="12.75">
      <c r="A34" t="s">
        <v>647</v>
      </c>
      <c r="B34" t="s">
        <v>648</v>
      </c>
      <c r="H34" s="14"/>
      <c r="I34" s="9">
        <f>'2012'!C45</f>
        <v>1</v>
      </c>
      <c r="J34" s="9">
        <f>'2012'!G45</f>
        <v>7</v>
      </c>
      <c r="K34" s="14">
        <f t="shared" si="0"/>
        <v>0.6102877070619006</v>
      </c>
    </row>
    <row r="35" spans="1:11" ht="12.75">
      <c r="A35" t="s">
        <v>547</v>
      </c>
      <c r="B35" t="s">
        <v>548</v>
      </c>
      <c r="H35" s="14"/>
      <c r="I35" s="9">
        <f>'2010'!C46+'2011'!C44+'2012'!C46+'2014'!C35</f>
        <v>3</v>
      </c>
      <c r="J35" s="9">
        <f>'2010'!G46+'2011'!G44+'2012'!G46+'2014'!G35</f>
        <v>24</v>
      </c>
      <c r="K35" s="14">
        <f aca="true" t="shared" si="1" ref="K35:K66">J35/$J$81*100</f>
        <v>2.092414995640802</v>
      </c>
    </row>
    <row r="36" spans="1:11" ht="12.75">
      <c r="A36" t="s">
        <v>549</v>
      </c>
      <c r="B36" t="s">
        <v>550</v>
      </c>
      <c r="H36" s="14"/>
      <c r="I36" s="9">
        <f>'2010'!C47+'2014'!C36</f>
        <v>1</v>
      </c>
      <c r="J36" s="9">
        <f>'2010'!G47</f>
        <v>6</v>
      </c>
      <c r="K36" s="14">
        <f t="shared" si="1"/>
        <v>0.5231037489102005</v>
      </c>
    </row>
    <row r="37" spans="1:11" ht="12.75">
      <c r="A37" t="s">
        <v>631</v>
      </c>
      <c r="B37" t="s">
        <v>632</v>
      </c>
      <c r="C37">
        <v>1</v>
      </c>
      <c r="E37">
        <v>4</v>
      </c>
      <c r="F37">
        <v>4</v>
      </c>
      <c r="G37" s="9">
        <f>SUM(E37:F37)</f>
        <v>8</v>
      </c>
      <c r="H37" s="14">
        <f>G37/$G$81*100</f>
        <v>3.361344537815126</v>
      </c>
      <c r="I37" s="9">
        <f>'2011'!C46+'2012'!C48+'2014'!C37+C37</f>
        <v>6</v>
      </c>
      <c r="J37" s="9">
        <f>'2011'!G46+'2012'!G48+G37</f>
        <v>37</v>
      </c>
      <c r="K37" s="14">
        <f t="shared" si="1"/>
        <v>3.225806451612903</v>
      </c>
    </row>
    <row r="38" spans="1:11" ht="12.75">
      <c r="A38" t="s">
        <v>664</v>
      </c>
      <c r="B38" t="s">
        <v>665</v>
      </c>
      <c r="H38" s="14"/>
      <c r="I38" s="9">
        <f>'2013'!C47</f>
        <v>1</v>
      </c>
      <c r="J38" s="9">
        <f>'2013'!G47</f>
        <v>6</v>
      </c>
      <c r="K38" s="14">
        <f t="shared" si="1"/>
        <v>0.5231037489102005</v>
      </c>
    </row>
    <row r="39" spans="1:11" ht="12.75">
      <c r="A39" t="s">
        <v>666</v>
      </c>
      <c r="B39" t="s">
        <v>667</v>
      </c>
      <c r="H39" s="14"/>
      <c r="I39" s="9">
        <f>'2013'!C48</f>
        <v>1</v>
      </c>
      <c r="J39" s="9">
        <f>'2013'!G48</f>
        <v>5</v>
      </c>
      <c r="K39" s="14">
        <f t="shared" si="1"/>
        <v>0.4359197907585004</v>
      </c>
    </row>
    <row r="40" spans="1:11" ht="12.75">
      <c r="A40" t="s">
        <v>150</v>
      </c>
      <c r="B40" t="s">
        <v>668</v>
      </c>
      <c r="C40">
        <v>2</v>
      </c>
      <c r="E40">
        <v>9</v>
      </c>
      <c r="F40">
        <v>7</v>
      </c>
      <c r="G40" s="9">
        <f>SUM(E40:F40)</f>
        <v>16</v>
      </c>
      <c r="H40" s="14">
        <f>G40/$G$81*100</f>
        <v>6.722689075630252</v>
      </c>
      <c r="I40" s="9">
        <f>'2013'!C49+'2014'!C40</f>
        <v>4</v>
      </c>
      <c r="J40" s="9">
        <f>'2013'!G49+'2014'!G40</f>
        <v>31</v>
      </c>
      <c r="K40" s="14">
        <f t="shared" si="1"/>
        <v>2.7027027027027026</v>
      </c>
    </row>
    <row r="41" spans="1:11" ht="12.75">
      <c r="A41" t="s">
        <v>582</v>
      </c>
      <c r="B41" t="s">
        <v>583</v>
      </c>
      <c r="H41" s="14"/>
      <c r="I41" s="9">
        <f>'2013'!C50</f>
        <v>2</v>
      </c>
      <c r="J41" s="9">
        <f>'2013'!G50</f>
        <v>17</v>
      </c>
      <c r="K41" s="14">
        <f t="shared" si="1"/>
        <v>1.4821272885789014</v>
      </c>
    </row>
    <row r="42" spans="1:11" ht="12.75">
      <c r="A42" t="s">
        <v>555</v>
      </c>
      <c r="B42" t="s">
        <v>556</v>
      </c>
      <c r="H42" s="14"/>
      <c r="I42" s="9">
        <f>'2010'!C52+'2011'!C50+'2014'!C42</f>
        <v>4</v>
      </c>
      <c r="J42" s="9">
        <f>'2010'!G52+'2011'!G50</f>
        <v>25</v>
      </c>
      <c r="K42" s="14">
        <f t="shared" si="1"/>
        <v>2.1795989537925022</v>
      </c>
    </row>
    <row r="43" spans="1:11" ht="12.75">
      <c r="A43" t="s">
        <v>501</v>
      </c>
      <c r="B43" t="s">
        <v>423</v>
      </c>
      <c r="H43" s="14"/>
      <c r="I43" s="9">
        <f>'2010'!C56+'2011'!C52+'2014'!C43</f>
        <v>3</v>
      </c>
      <c r="J43" s="9">
        <f>'2010'!G56+'2011'!G52</f>
        <v>8</v>
      </c>
      <c r="K43" s="14">
        <f t="shared" si="1"/>
        <v>0.6974716652136007</v>
      </c>
    </row>
    <row r="44" spans="1:11" ht="12.75">
      <c r="A44" t="s">
        <v>557</v>
      </c>
      <c r="B44" t="s">
        <v>558</v>
      </c>
      <c r="H44" s="14"/>
      <c r="I44" s="9">
        <f>'2013'!C53</f>
        <v>1</v>
      </c>
      <c r="J44" s="9">
        <f>'2013'!G53</f>
        <v>5</v>
      </c>
      <c r="K44" s="14">
        <f t="shared" si="1"/>
        <v>0.4359197907585004</v>
      </c>
    </row>
    <row r="45" spans="1:11" ht="12.75">
      <c r="A45" t="s">
        <v>669</v>
      </c>
      <c r="B45" t="s">
        <v>670</v>
      </c>
      <c r="C45">
        <v>1</v>
      </c>
      <c r="E45">
        <v>3</v>
      </c>
      <c r="F45">
        <v>5</v>
      </c>
      <c r="G45" s="9">
        <f>SUM(E45:F45)</f>
        <v>8</v>
      </c>
      <c r="H45" s="14">
        <f>G45/$G$81*100</f>
        <v>3.361344537815126</v>
      </c>
      <c r="I45" s="9">
        <f>'2013'!C55+'2014'!C45</f>
        <v>4</v>
      </c>
      <c r="J45" s="9">
        <f>'2013'!G55+'2014'!G45</f>
        <v>21</v>
      </c>
      <c r="K45" s="14">
        <f t="shared" si="1"/>
        <v>1.8308631211857016</v>
      </c>
    </row>
    <row r="46" spans="1:11" ht="12.75">
      <c r="A46" t="s">
        <v>633</v>
      </c>
      <c r="B46" t="s">
        <v>634</v>
      </c>
      <c r="C46">
        <v>1</v>
      </c>
      <c r="E46">
        <v>5</v>
      </c>
      <c r="F46">
        <v>2</v>
      </c>
      <c r="G46">
        <v>7</v>
      </c>
      <c r="H46" s="14">
        <f>G46/$G$81*100</f>
        <v>2.941176470588235</v>
      </c>
      <c r="I46" s="9">
        <f>'2011'!C58+'2012'!C59+'2013'!C58+'2014'!C46</f>
        <v>6</v>
      </c>
      <c r="J46" s="9">
        <f>'2011'!G58+'2012'!G59+'2013'!G58+'2014'!G46</f>
        <v>47</v>
      </c>
      <c r="K46" s="78">
        <f t="shared" si="1"/>
        <v>4.097646033129904</v>
      </c>
    </row>
    <row r="47" spans="1:11" ht="12.75">
      <c r="A47" t="s">
        <v>586</v>
      </c>
      <c r="B47" t="s">
        <v>587</v>
      </c>
      <c r="H47" s="14"/>
      <c r="I47" s="9">
        <f>'2010'!C64+'2011'!C59+'2012'!C60+'2014'!C47</f>
        <v>7</v>
      </c>
      <c r="J47" s="9">
        <f>'2010'!G64+'2011'!G59+'2012'!G60+'2014'!G47</f>
        <v>42</v>
      </c>
      <c r="K47" s="14">
        <f t="shared" si="1"/>
        <v>3.661726242371403</v>
      </c>
    </row>
    <row r="48" spans="1:11" ht="12.75">
      <c r="A48" t="s">
        <v>588</v>
      </c>
      <c r="B48" t="s">
        <v>589</v>
      </c>
      <c r="C48">
        <v>1</v>
      </c>
      <c r="E48">
        <v>3</v>
      </c>
      <c r="F48">
        <v>4</v>
      </c>
      <c r="G48" s="9">
        <f>SUM(E48:F48)</f>
        <v>7</v>
      </c>
      <c r="H48" s="14">
        <f>G48/$G$81*100</f>
        <v>2.941176470588235</v>
      </c>
      <c r="I48" s="9">
        <f>'2010'!C65+'2011'!C60+'2013'!C60+'2014'!C48</f>
        <v>9</v>
      </c>
      <c r="J48" s="9">
        <f>'2010'!G65+'2011'!G60+'2013'!G60+'2014'!G48</f>
        <v>52</v>
      </c>
      <c r="K48" s="78">
        <f t="shared" si="1"/>
        <v>4.533565823888405</v>
      </c>
    </row>
    <row r="49" spans="1:11" ht="12.75">
      <c r="A49" t="s">
        <v>685</v>
      </c>
      <c r="B49" t="s">
        <v>686</v>
      </c>
      <c r="C49">
        <v>1</v>
      </c>
      <c r="E49">
        <v>1</v>
      </c>
      <c r="F49">
        <v>3</v>
      </c>
      <c r="G49" s="9">
        <f>SUM(E49:F49)</f>
        <v>4</v>
      </c>
      <c r="H49" s="14">
        <f>G49/$G$81*100</f>
        <v>1.680672268907563</v>
      </c>
      <c r="I49" s="9">
        <f>C49</f>
        <v>1</v>
      </c>
      <c r="J49" s="9">
        <f>G49</f>
        <v>4</v>
      </c>
      <c r="K49" s="14">
        <f t="shared" si="1"/>
        <v>0.34873583260680036</v>
      </c>
    </row>
    <row r="50" spans="1:11" ht="12.75">
      <c r="A50" t="s">
        <v>649</v>
      </c>
      <c r="B50" t="s">
        <v>650</v>
      </c>
      <c r="I50" s="9">
        <f>'2012'!C63</f>
        <v>1</v>
      </c>
      <c r="J50" s="9">
        <f>'2012'!G63</f>
        <v>8</v>
      </c>
      <c r="K50" s="14">
        <f t="shared" si="1"/>
        <v>0.6974716652136007</v>
      </c>
    </row>
    <row r="51" spans="1:11" ht="12.75">
      <c r="A51" t="s">
        <v>612</v>
      </c>
      <c r="B51" t="s">
        <v>613</v>
      </c>
      <c r="I51" s="9">
        <f>'2010'!C67</f>
        <v>1</v>
      </c>
      <c r="J51" s="9">
        <f>'2010'!G67</f>
        <v>5</v>
      </c>
      <c r="K51" s="14">
        <f t="shared" si="1"/>
        <v>0.4359197907585004</v>
      </c>
    </row>
    <row r="52" spans="1:11" ht="12.75">
      <c r="A52" t="s">
        <v>614</v>
      </c>
      <c r="B52" t="s">
        <v>615</v>
      </c>
      <c r="I52" s="9">
        <f>'2010'!C68</f>
        <v>1</v>
      </c>
      <c r="J52" s="9">
        <f>'2010'!G68</f>
        <v>6</v>
      </c>
      <c r="K52" s="14">
        <f t="shared" si="1"/>
        <v>0.5231037489102005</v>
      </c>
    </row>
    <row r="53" spans="1:11" ht="12.75">
      <c r="A53" t="s">
        <v>502</v>
      </c>
      <c r="C53" s="9">
        <f>SUM(C3:C52)</f>
        <v>24</v>
      </c>
      <c r="E53" s="9">
        <f>SUM(E3:E52)</f>
        <v>79</v>
      </c>
      <c r="F53" s="9">
        <f>SUM(F3:F52)</f>
        <v>84</v>
      </c>
      <c r="G53" s="9">
        <f>SUM(G3:G52)</f>
        <v>163</v>
      </c>
      <c r="H53" s="9">
        <f>SUM(H3:H52)</f>
        <v>68.48739495798318</v>
      </c>
      <c r="J53" s="9">
        <f>SUM(J3:J52)</f>
        <v>910</v>
      </c>
      <c r="K53" s="9">
        <f>SUM(K3:K52)</f>
        <v>79.33740191804708</v>
      </c>
    </row>
    <row r="54" ht="12.75">
      <c r="L54" s="9">
        <f>'2010'!G69+'2011'!G64+'2012'!G66+'2013'!G64+'2014'!G53</f>
        <v>910</v>
      </c>
    </row>
    <row r="56" spans="1:11" ht="12.75">
      <c r="A56" t="s">
        <v>687</v>
      </c>
      <c r="B56" t="s">
        <v>688</v>
      </c>
      <c r="C56">
        <v>2</v>
      </c>
      <c r="E56">
        <v>7</v>
      </c>
      <c r="F56">
        <v>9</v>
      </c>
      <c r="G56" s="9">
        <f>SUM(E56:F56)</f>
        <v>16</v>
      </c>
      <c r="H56" s="14">
        <f>G56/$G$81*100</f>
        <v>6.722689075630252</v>
      </c>
      <c r="I56" s="9">
        <f>C56</f>
        <v>2</v>
      </c>
      <c r="J56" s="9">
        <f>SUM(G56)</f>
        <v>16</v>
      </c>
      <c r="K56" s="14">
        <f aca="true" t="shared" si="2" ref="K56:K76">J56/$J$81*100</f>
        <v>1.3949433304272014</v>
      </c>
    </row>
    <row r="57" spans="1:11" ht="12.75">
      <c r="A57" t="s">
        <v>671</v>
      </c>
      <c r="B57" t="s">
        <v>672</v>
      </c>
      <c r="H57" s="14"/>
      <c r="I57" s="9">
        <f>'2013'!C67+'2014'!C57</f>
        <v>1</v>
      </c>
      <c r="J57" s="9">
        <f>'2013'!G67+'2014'!G57</f>
        <v>5</v>
      </c>
      <c r="K57" s="14">
        <f t="shared" si="2"/>
        <v>0.4359197907585004</v>
      </c>
    </row>
    <row r="58" spans="1:11" ht="12.75">
      <c r="A58" t="s">
        <v>590</v>
      </c>
      <c r="B58" t="s">
        <v>591</v>
      </c>
      <c r="H58" s="14"/>
      <c r="I58" s="9">
        <f>'2010'!C74</f>
        <v>1</v>
      </c>
      <c r="J58" s="9">
        <f>'2010'!G74</f>
        <v>4</v>
      </c>
      <c r="K58" s="14">
        <f t="shared" si="2"/>
        <v>0.34873583260680036</v>
      </c>
    </row>
    <row r="59" spans="1:11" ht="12.75">
      <c r="A59" t="s">
        <v>103</v>
      </c>
      <c r="B59" t="s">
        <v>592</v>
      </c>
      <c r="H59" s="14"/>
      <c r="I59" s="9">
        <f>'2012'!C70</f>
        <v>1</v>
      </c>
      <c r="J59" s="9">
        <f>'2012'!G70</f>
        <v>6</v>
      </c>
      <c r="K59" s="14">
        <f t="shared" si="2"/>
        <v>0.5231037489102005</v>
      </c>
    </row>
    <row r="60" spans="1:11" ht="12.75">
      <c r="A60" t="s">
        <v>593</v>
      </c>
      <c r="B60" t="s">
        <v>594</v>
      </c>
      <c r="H60" s="14"/>
      <c r="I60" s="9">
        <f>'2011'!C70+'2013'!C70</f>
        <v>2</v>
      </c>
      <c r="J60" s="9">
        <f>'2011'!G70+'2013'!G70</f>
        <v>14</v>
      </c>
      <c r="K60" s="14">
        <f t="shared" si="2"/>
        <v>1.2205754141238012</v>
      </c>
    </row>
    <row r="61" spans="1:11" ht="12.75">
      <c r="A61" t="s">
        <v>651</v>
      </c>
      <c r="B61" t="s">
        <v>652</v>
      </c>
      <c r="C61">
        <v>1</v>
      </c>
      <c r="E61">
        <v>4</v>
      </c>
      <c r="F61">
        <v>2</v>
      </c>
      <c r="G61" s="9">
        <f>SUM(E61:F61)</f>
        <v>6</v>
      </c>
      <c r="H61" s="14">
        <f>G61/$G$81*100</f>
        <v>2.5210084033613445</v>
      </c>
      <c r="I61" s="9">
        <f>'2012'!C72+'2013'!C71+'2014'!C61</f>
        <v>3</v>
      </c>
      <c r="J61" s="9">
        <f>'2012'!G72+'2013'!G71+'2014'!G61</f>
        <v>22</v>
      </c>
      <c r="K61" s="14">
        <f t="shared" si="2"/>
        <v>1.918047079337402</v>
      </c>
    </row>
    <row r="62" spans="1:11" ht="12.75">
      <c r="A62" t="s">
        <v>673</v>
      </c>
      <c r="B62" t="s">
        <v>674</v>
      </c>
      <c r="H62" s="14"/>
      <c r="I62" s="9">
        <f>'2013'!C73</f>
        <v>1</v>
      </c>
      <c r="J62" s="9">
        <f>'2013'!G73</f>
        <v>6</v>
      </c>
      <c r="K62" s="14">
        <f t="shared" si="2"/>
        <v>0.5231037489102005</v>
      </c>
    </row>
    <row r="63" spans="1:11" ht="12.75">
      <c r="A63" t="s">
        <v>503</v>
      </c>
      <c r="B63" t="s">
        <v>504</v>
      </c>
      <c r="H63" s="14"/>
      <c r="I63" s="9">
        <f>'2010'!C79+'2011'!C72+'2012'!C74+'2014'!C63</f>
        <v>5</v>
      </c>
      <c r="J63" s="9">
        <f>'2010'!G79+'2011'!G72+'2012'!G74</f>
        <v>44</v>
      </c>
      <c r="K63" s="14">
        <f t="shared" si="2"/>
        <v>3.836094158674804</v>
      </c>
    </row>
    <row r="64" spans="1:11" ht="12.75">
      <c r="A64" t="s">
        <v>616</v>
      </c>
      <c r="B64" t="s">
        <v>617</v>
      </c>
      <c r="H64" s="14"/>
      <c r="I64" s="9">
        <f>'2010'!C80+'2012'!C75+'2014'!C64</f>
        <v>2</v>
      </c>
      <c r="J64" s="9">
        <f>'2010'!G80+'2012'!G75</f>
        <v>3</v>
      </c>
      <c r="K64" s="14">
        <f t="shared" si="2"/>
        <v>0.26155187445510025</v>
      </c>
    </row>
    <row r="65" spans="1:11" ht="12.75">
      <c r="A65" t="s">
        <v>602</v>
      </c>
      <c r="B65" t="s">
        <v>603</v>
      </c>
      <c r="H65" s="14"/>
      <c r="I65" s="9">
        <f>'2011'!C74+'2012'!C76</f>
        <v>2</v>
      </c>
      <c r="J65" s="9">
        <f>'2011'!G74+'2012'!G76</f>
        <v>9</v>
      </c>
      <c r="K65" s="14">
        <f t="shared" si="2"/>
        <v>0.7846556233653008</v>
      </c>
    </row>
    <row r="66" spans="1:11" ht="12.75">
      <c r="A66" t="s">
        <v>653</v>
      </c>
      <c r="B66" t="s">
        <v>654</v>
      </c>
      <c r="C66">
        <v>1</v>
      </c>
      <c r="E66">
        <v>4</v>
      </c>
      <c r="F66">
        <v>5</v>
      </c>
      <c r="G66" s="9">
        <f>SUM(E66:F66)</f>
        <v>9</v>
      </c>
      <c r="H66" s="14">
        <f>G66/$G$81*100</f>
        <v>3.7815126050420167</v>
      </c>
      <c r="I66" s="9">
        <f>'2012'!C77+'2014'!C66</f>
        <v>2</v>
      </c>
      <c r="J66" s="9">
        <f>'2012'!G77+'2014'!G66</f>
        <v>15</v>
      </c>
      <c r="K66" s="14">
        <f t="shared" si="2"/>
        <v>1.3077593722755012</v>
      </c>
    </row>
    <row r="67" spans="1:11" ht="12.75">
      <c r="A67" t="s">
        <v>618</v>
      </c>
      <c r="B67" t="s">
        <v>619</v>
      </c>
      <c r="H67" s="14"/>
      <c r="I67" s="9">
        <f>'2010'!C81</f>
        <v>1</v>
      </c>
      <c r="J67" s="9">
        <f>'2010'!G81</f>
        <v>1</v>
      </c>
      <c r="K67" s="14">
        <f t="shared" si="2"/>
        <v>0.08718395815170009</v>
      </c>
    </row>
    <row r="68" spans="1:11" ht="12.75">
      <c r="A68" t="s">
        <v>543</v>
      </c>
      <c r="B68" t="s">
        <v>544</v>
      </c>
      <c r="H68" s="14"/>
      <c r="I68" s="9">
        <f>'2011'!C76</f>
        <v>1</v>
      </c>
      <c r="J68" s="9">
        <f>'2011'!G76</f>
        <v>10</v>
      </c>
      <c r="K68" s="14">
        <f t="shared" si="2"/>
        <v>0.8718395815170008</v>
      </c>
    </row>
    <row r="69" spans="1:11" ht="12.75">
      <c r="A69" t="s">
        <v>655</v>
      </c>
      <c r="B69" t="s">
        <v>656</v>
      </c>
      <c r="H69" s="14"/>
      <c r="I69" s="9">
        <f>'2012'!C80</f>
        <v>1</v>
      </c>
      <c r="J69" s="9">
        <f>'2012'!G80</f>
        <v>7</v>
      </c>
      <c r="K69" s="14">
        <f t="shared" si="2"/>
        <v>0.6102877070619006</v>
      </c>
    </row>
    <row r="70" spans="1:11" ht="12.75">
      <c r="A70" t="s">
        <v>689</v>
      </c>
      <c r="B70" t="s">
        <v>690</v>
      </c>
      <c r="C70">
        <v>1</v>
      </c>
      <c r="E70">
        <v>1</v>
      </c>
      <c r="F70">
        <v>3</v>
      </c>
      <c r="G70" s="9">
        <f>SUM(E70:F70)</f>
        <v>4</v>
      </c>
      <c r="H70" s="14">
        <f>G70/$G$81*100</f>
        <v>1.680672268907563</v>
      </c>
      <c r="I70" s="9">
        <f>C70</f>
        <v>1</v>
      </c>
      <c r="J70" s="9">
        <f>G70</f>
        <v>4</v>
      </c>
      <c r="K70" s="14">
        <f t="shared" si="2"/>
        <v>0.34873583260680036</v>
      </c>
    </row>
    <row r="71" spans="1:11" ht="12.75">
      <c r="A71" t="s">
        <v>691</v>
      </c>
      <c r="B71" t="s">
        <v>692</v>
      </c>
      <c r="C71">
        <v>1</v>
      </c>
      <c r="E71">
        <v>2</v>
      </c>
      <c r="F71">
        <v>5</v>
      </c>
      <c r="G71" s="9">
        <f>SUM(E71:F71)</f>
        <v>7</v>
      </c>
      <c r="H71" s="14">
        <f>G71/$G$81*100</f>
        <v>2.941176470588235</v>
      </c>
      <c r="I71" s="9">
        <f>C71</f>
        <v>1</v>
      </c>
      <c r="J71" s="9">
        <f>SUM(G71)</f>
        <v>7</v>
      </c>
      <c r="K71" s="14">
        <f t="shared" si="2"/>
        <v>0.6102877070619006</v>
      </c>
    </row>
    <row r="72" spans="1:11" ht="12.75">
      <c r="A72" t="s">
        <v>693</v>
      </c>
      <c r="B72" t="s">
        <v>694</v>
      </c>
      <c r="C72">
        <v>1</v>
      </c>
      <c r="E72">
        <v>1</v>
      </c>
      <c r="F72">
        <v>7</v>
      </c>
      <c r="G72">
        <v>8</v>
      </c>
      <c r="H72" s="14">
        <f>G72/$G$81*100</f>
        <v>3.361344537815126</v>
      </c>
      <c r="I72" s="9">
        <f>C72</f>
        <v>1</v>
      </c>
      <c r="J72" s="9">
        <f>G72</f>
        <v>8</v>
      </c>
      <c r="K72" s="14">
        <f t="shared" si="2"/>
        <v>0.6974716652136007</v>
      </c>
    </row>
    <row r="73" spans="1:11" ht="12.75">
      <c r="A73" t="s">
        <v>675</v>
      </c>
      <c r="B73" t="s">
        <v>676</v>
      </c>
      <c r="C73">
        <v>1</v>
      </c>
      <c r="E73">
        <v>6</v>
      </c>
      <c r="F73">
        <v>3</v>
      </c>
      <c r="G73" s="9">
        <f>SUM(E73:F73)</f>
        <v>9</v>
      </c>
      <c r="H73" s="14">
        <f>G73/$G$81*100</f>
        <v>3.7815126050420167</v>
      </c>
      <c r="I73" s="9">
        <f>'2013'!C82+'2014'!C73</f>
        <v>2</v>
      </c>
      <c r="J73" s="9">
        <f>'2013'!G82+'2014'!G73</f>
        <v>15</v>
      </c>
      <c r="K73" s="14">
        <f t="shared" si="2"/>
        <v>1.3077593722755012</v>
      </c>
    </row>
    <row r="74" spans="1:11" ht="12.75">
      <c r="A74" t="s">
        <v>595</v>
      </c>
      <c r="B74" t="s">
        <v>596</v>
      </c>
      <c r="H74" s="14"/>
      <c r="I74" s="9">
        <f>'2011'!C81+'2014'!C74</f>
        <v>1</v>
      </c>
      <c r="J74" s="9">
        <f>'2011'!G81</f>
        <v>3</v>
      </c>
      <c r="K74" s="14">
        <f t="shared" si="2"/>
        <v>0.26155187445510025</v>
      </c>
    </row>
    <row r="75" spans="1:11" ht="12.75">
      <c r="A75" t="s">
        <v>695</v>
      </c>
      <c r="B75" t="s">
        <v>696</v>
      </c>
      <c r="C75">
        <v>1</v>
      </c>
      <c r="E75">
        <v>2</v>
      </c>
      <c r="F75">
        <v>3</v>
      </c>
      <c r="G75" s="9">
        <f>SUM(E75:F75)</f>
        <v>5</v>
      </c>
      <c r="H75" s="14">
        <f>G75/$G$81*100</f>
        <v>2.100840336134454</v>
      </c>
      <c r="I75" s="9">
        <f>C75</f>
        <v>1</v>
      </c>
      <c r="J75" s="9">
        <f>G75</f>
        <v>5</v>
      </c>
      <c r="K75" s="14">
        <f t="shared" si="2"/>
        <v>0.4359197907585004</v>
      </c>
    </row>
    <row r="76" spans="1:11" ht="12.75">
      <c r="A76" t="s">
        <v>697</v>
      </c>
      <c r="B76" t="s">
        <v>698</v>
      </c>
      <c r="C76">
        <v>1</v>
      </c>
      <c r="E76">
        <v>2</v>
      </c>
      <c r="F76">
        <v>5</v>
      </c>
      <c r="G76" s="9">
        <f>SUM(E76:F76)</f>
        <v>7</v>
      </c>
      <c r="H76" s="14">
        <f>G76/$G$81*100</f>
        <v>2.941176470588235</v>
      </c>
      <c r="I76" s="9">
        <f>C76</f>
        <v>1</v>
      </c>
      <c r="J76" s="9">
        <f>SUM(G76)</f>
        <v>7</v>
      </c>
      <c r="K76" s="14">
        <f t="shared" si="2"/>
        <v>0.6102877070619006</v>
      </c>
    </row>
    <row r="77" spans="1:11" ht="12.75">
      <c r="A77" t="s">
        <v>511</v>
      </c>
      <c r="C77" s="9">
        <f>SUM(C56:C76)</f>
        <v>10</v>
      </c>
      <c r="E77" s="9">
        <f>SUM(E56:E76)</f>
        <v>29</v>
      </c>
      <c r="F77" s="9">
        <f>SUM(F56:F76)</f>
        <v>42</v>
      </c>
      <c r="G77" s="9">
        <f>SUM(E77:F77)</f>
        <v>71</v>
      </c>
      <c r="H77" s="14">
        <f>SUM(H56:H76)</f>
        <v>29.83193277310924</v>
      </c>
      <c r="J77" s="9">
        <f>SUM(J56:J76)</f>
        <v>211</v>
      </c>
      <c r="K77" s="14">
        <f>SUM(K56:K76)</f>
        <v>18.39581517000872</v>
      </c>
    </row>
    <row r="78" spans="1:12" ht="12.75">
      <c r="A78" t="s">
        <v>531</v>
      </c>
      <c r="L78" s="9">
        <f>'2010'!G93+'2011'!G82+'2012'!G84+'2013'!G85+'2014'!G77</f>
        <v>211</v>
      </c>
    </row>
    <row r="80" spans="1:11" ht="12.75">
      <c r="A80" t="s">
        <v>462</v>
      </c>
      <c r="C80">
        <v>4</v>
      </c>
      <c r="E80">
        <v>2</v>
      </c>
      <c r="F80">
        <v>2</v>
      </c>
      <c r="G80" s="9">
        <f>SUM(E80:F80)</f>
        <v>4</v>
      </c>
      <c r="H80" s="14">
        <f>G80/G$81*100</f>
        <v>1.680672268907563</v>
      </c>
      <c r="J80" s="9">
        <f>'2010'!G96+'2011'!G85+'2012'!G87+'2013'!G87+'2014'!G80</f>
        <v>26</v>
      </c>
      <c r="K80" s="14">
        <f>J80/$J$81*100</f>
        <v>2.2667829119442024</v>
      </c>
    </row>
    <row r="81" spans="1:11" ht="12.75">
      <c r="A81" t="s">
        <v>533</v>
      </c>
      <c r="C81" s="9"/>
      <c r="D81" s="9"/>
      <c r="E81" s="9">
        <f>E53+E77+E80</f>
        <v>110</v>
      </c>
      <c r="F81" s="9">
        <f>F53+F77+F80</f>
        <v>128</v>
      </c>
      <c r="G81" s="9">
        <f>G53+G77+G80</f>
        <v>238</v>
      </c>
      <c r="H81" s="9">
        <f>H53+H77+H80</f>
        <v>99.99999999999999</v>
      </c>
      <c r="J81" s="9">
        <f>J53+J77+J80</f>
        <v>1147</v>
      </c>
      <c r="K81" s="9">
        <f>K53+K77+K80</f>
        <v>100</v>
      </c>
    </row>
    <row r="83" ht="12.75">
      <c r="J83" s="9">
        <f>'2010'!G97+'2011'!G86+'2012'!G88+'2013'!G88+'2014'!G81</f>
        <v>1147</v>
      </c>
    </row>
    <row r="84" spans="1:2" ht="12.75">
      <c r="A84" t="s">
        <v>6</v>
      </c>
      <c r="B84">
        <v>30</v>
      </c>
    </row>
    <row r="85" spans="1:2" ht="12.75">
      <c r="A85" t="s">
        <v>7</v>
      </c>
      <c r="B85" s="9">
        <f>C53+C77+C80</f>
        <v>38</v>
      </c>
    </row>
    <row r="86" spans="1:2" ht="12.75">
      <c r="A86" t="s">
        <v>563</v>
      </c>
      <c r="B86" s="9">
        <f>4*(B84*B85)/(B84+B85)</f>
        <v>67.05882352941177</v>
      </c>
    </row>
    <row r="88" spans="1:2" ht="12.75">
      <c r="A88" t="s">
        <v>564</v>
      </c>
      <c r="B88" s="9">
        <f>(B86/B85)*50</f>
        <v>88.23529411764707</v>
      </c>
    </row>
    <row r="91" ht="12.75">
      <c r="A91" t="s">
        <v>534</v>
      </c>
    </row>
    <row r="93" spans="1:2" ht="12.75">
      <c r="A93" t="s">
        <v>6</v>
      </c>
      <c r="B93" s="9">
        <f>'2014'!B84</f>
        <v>30</v>
      </c>
    </row>
    <row r="94" spans="1:2" ht="12.75">
      <c r="A94" t="s">
        <v>7</v>
      </c>
      <c r="B94" s="9">
        <f>'2010'!B102+'2011'!B90+'2012'!B92+'2013'!B92+'2014'!B85</f>
        <v>200</v>
      </c>
    </row>
    <row r="95" spans="1:2" ht="12.75">
      <c r="A95" t="s">
        <v>563</v>
      </c>
      <c r="B95" s="9">
        <f>4*(B93*B94)/(B93+B94)</f>
        <v>104.34782608695652</v>
      </c>
    </row>
    <row r="97" spans="1:2" ht="12.75">
      <c r="A97" t="s">
        <v>564</v>
      </c>
      <c r="B97" s="9">
        <f>(B95/B94)*50</f>
        <v>26.08695652173913</v>
      </c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0"/>
  <sheetViews>
    <sheetView zoomScale="90" zoomScaleNormal="90" zoomScalePageLayoutView="0" workbookViewId="0" topLeftCell="A3">
      <selection activeCell="J27" sqref="J27"/>
    </sheetView>
  </sheetViews>
  <sheetFormatPr defaultColWidth="9.140625" defaultRowHeight="12.75"/>
  <cols>
    <col min="1" max="1" width="23.00390625" style="0" customWidth="1"/>
    <col min="2" max="2" width="14.140625" style="0" customWidth="1"/>
    <col min="4" max="4" width="0" style="0" hidden="1" customWidth="1"/>
    <col min="5" max="5" width="9.8515625" style="0" customWidth="1"/>
    <col min="8" max="8" width="11.7109375" style="0" customWidth="1"/>
    <col min="9" max="9" width="10.421875" style="0" customWidth="1"/>
    <col min="10" max="10" width="12.28125" style="0" customWidth="1"/>
    <col min="12" max="12" width="11.421875" style="0" customWidth="1"/>
  </cols>
  <sheetData>
    <row r="1" spans="1:12" s="28" customFormat="1" ht="12.75" customHeight="1">
      <c r="A1" s="73" t="s">
        <v>0</v>
      </c>
      <c r="B1" s="74">
        <v>2015</v>
      </c>
      <c r="C1" s="106" t="s">
        <v>4</v>
      </c>
      <c r="D1" s="107" t="s">
        <v>368</v>
      </c>
      <c r="E1" s="106" t="s">
        <v>6</v>
      </c>
      <c r="F1" s="106" t="s">
        <v>7</v>
      </c>
      <c r="G1" s="73"/>
      <c r="H1" s="75"/>
      <c r="I1" s="106" t="s">
        <v>294</v>
      </c>
      <c r="J1" s="106" t="s">
        <v>295</v>
      </c>
      <c r="K1" s="109" t="s">
        <v>322</v>
      </c>
      <c r="L1" s="108" t="s">
        <v>13</v>
      </c>
    </row>
    <row r="2" spans="1:12" ht="34.5">
      <c r="A2" s="76" t="s">
        <v>431</v>
      </c>
      <c r="B2" s="76" t="s">
        <v>3</v>
      </c>
      <c r="C2" s="106"/>
      <c r="D2" s="107"/>
      <c r="E2" s="106"/>
      <c r="F2" s="106"/>
      <c r="G2" s="73" t="s">
        <v>8</v>
      </c>
      <c r="H2" s="75" t="s">
        <v>9</v>
      </c>
      <c r="I2" s="106"/>
      <c r="J2" s="106"/>
      <c r="K2" s="109"/>
      <c r="L2" s="108"/>
    </row>
    <row r="3" spans="1:11" ht="12.75">
      <c r="A3" s="79" t="s">
        <v>657</v>
      </c>
      <c r="B3" s="79" t="s">
        <v>658</v>
      </c>
      <c r="C3" s="79"/>
      <c r="D3" s="79"/>
      <c r="E3" s="79"/>
      <c r="F3" s="79"/>
      <c r="G3" s="9">
        <f>SUM(E3+F3)</f>
        <v>0</v>
      </c>
      <c r="H3" s="80">
        <f aca="true" t="shared" si="0" ref="H3:H34">G3/$G$84</f>
        <v>0</v>
      </c>
      <c r="I3" s="9">
        <f>'2013'!C4+C3</f>
        <v>1</v>
      </c>
      <c r="J3" s="9">
        <f>'2013'!G4+G3</f>
        <v>9</v>
      </c>
      <c r="K3" s="81">
        <f aca="true" t="shared" si="1" ref="K3:K34">J3/$J$84</f>
        <v>0.007275666936135812</v>
      </c>
    </row>
    <row r="4" spans="1:11" ht="12.75">
      <c r="A4" s="79" t="s">
        <v>598</v>
      </c>
      <c r="B4" s="79" t="s">
        <v>599</v>
      </c>
      <c r="C4" s="79"/>
      <c r="D4" s="79"/>
      <c r="E4" s="79"/>
      <c r="F4" s="79"/>
      <c r="G4" s="9">
        <f>SUM(E4+F4)</f>
        <v>0</v>
      </c>
      <c r="H4" s="80">
        <f t="shared" si="0"/>
        <v>0</v>
      </c>
      <c r="I4" s="9">
        <f>'2011'!C4+'2015'!C4</f>
        <v>1</v>
      </c>
      <c r="J4" s="9">
        <f>'2013'!G5+'2015'!G4</f>
        <v>7</v>
      </c>
      <c r="K4" s="81">
        <f t="shared" si="1"/>
        <v>0.005658852061438965</v>
      </c>
    </row>
    <row r="5" spans="1:11" ht="12.75">
      <c r="A5" s="79" t="s">
        <v>677</v>
      </c>
      <c r="B5" s="79" t="s">
        <v>678</v>
      </c>
      <c r="C5" s="79"/>
      <c r="D5" s="79"/>
      <c r="E5" s="79"/>
      <c r="F5" s="79"/>
      <c r="G5" s="9">
        <f>SUM(E5+F5)</f>
        <v>0</v>
      </c>
      <c r="H5" s="80">
        <f t="shared" si="0"/>
        <v>0</v>
      </c>
      <c r="I5" s="9">
        <f>'2014'!C5+'2015'!C5</f>
        <v>1</v>
      </c>
      <c r="J5" s="9">
        <f>'2014'!J5</f>
        <v>5</v>
      </c>
      <c r="K5" s="81">
        <f t="shared" si="1"/>
        <v>0.004042037186742118</v>
      </c>
    </row>
    <row r="6" spans="1:11" ht="12.75">
      <c r="A6" s="79" t="s">
        <v>635</v>
      </c>
      <c r="B6" s="79" t="s">
        <v>636</v>
      </c>
      <c r="C6" s="79">
        <v>1</v>
      </c>
      <c r="D6" s="79"/>
      <c r="E6" s="79">
        <v>1</v>
      </c>
      <c r="F6" s="79">
        <v>5</v>
      </c>
      <c r="G6" s="9">
        <f>SUM(E6+F6)</f>
        <v>6</v>
      </c>
      <c r="H6" s="80">
        <f t="shared" si="0"/>
        <v>0.020477815699658702</v>
      </c>
      <c r="I6" s="9">
        <f>'2012'!C6+'2014'!C6+'2015'!C6</f>
        <v>3</v>
      </c>
      <c r="J6" s="9">
        <f>'2012'!G6+'2014'!G6+'2015'!G6</f>
        <v>22</v>
      </c>
      <c r="K6" s="81">
        <f t="shared" si="1"/>
        <v>0.01778496362166532</v>
      </c>
    </row>
    <row r="7" spans="1:11" ht="12.75">
      <c r="A7" s="79" t="s">
        <v>699</v>
      </c>
      <c r="B7" s="79" t="s">
        <v>700</v>
      </c>
      <c r="C7" s="79">
        <v>1</v>
      </c>
      <c r="D7" s="79"/>
      <c r="E7" s="79">
        <v>6</v>
      </c>
      <c r="F7" s="79">
        <v>4</v>
      </c>
      <c r="G7" s="9">
        <v>10</v>
      </c>
      <c r="H7" s="80">
        <f t="shared" si="0"/>
        <v>0.034129692832764506</v>
      </c>
      <c r="I7" s="9">
        <f>C7</f>
        <v>1</v>
      </c>
      <c r="J7" s="9">
        <f>G7</f>
        <v>10</v>
      </c>
      <c r="K7" s="81">
        <f t="shared" si="1"/>
        <v>0.008084074373484237</v>
      </c>
    </row>
    <row r="8" spans="1:11" ht="12.75">
      <c r="A8" s="79" t="s">
        <v>679</v>
      </c>
      <c r="B8" s="79" t="s">
        <v>680</v>
      </c>
      <c r="C8" s="79"/>
      <c r="D8" s="79"/>
      <c r="E8" s="79"/>
      <c r="F8" s="79"/>
      <c r="G8" s="9">
        <f aca="true" t="shared" si="2" ref="G8:G24">SUM(E8+F8)</f>
        <v>0</v>
      </c>
      <c r="H8" s="80">
        <f t="shared" si="0"/>
        <v>0</v>
      </c>
      <c r="I8" s="9">
        <f>'2014'!C8+'2015'!C8</f>
        <v>1</v>
      </c>
      <c r="J8" s="9">
        <f>'2014'!G8+'2015'!G8</f>
        <v>4</v>
      </c>
      <c r="K8" s="81">
        <f t="shared" si="1"/>
        <v>0.0032336297493936943</v>
      </c>
    </row>
    <row r="9" spans="1:11" ht="12.75">
      <c r="A9" s="79" t="s">
        <v>600</v>
      </c>
      <c r="B9" s="79" t="s">
        <v>601</v>
      </c>
      <c r="C9" s="79"/>
      <c r="D9" s="79"/>
      <c r="E9" s="79"/>
      <c r="F9" s="79"/>
      <c r="G9" s="9">
        <f t="shared" si="2"/>
        <v>0</v>
      </c>
      <c r="H9" s="80">
        <f t="shared" si="0"/>
        <v>0</v>
      </c>
      <c r="I9" s="9">
        <f>'2011'!C11+'2012'!C11+'2015'!C9</f>
        <v>4</v>
      </c>
      <c r="J9" s="9">
        <f>'2011'!G11+'2012'!G11+'2015'!G9</f>
        <v>10</v>
      </c>
      <c r="K9" s="81">
        <f t="shared" si="1"/>
        <v>0.008084074373484237</v>
      </c>
    </row>
    <row r="10" spans="1:11" ht="12.75">
      <c r="A10" s="79" t="s">
        <v>622</v>
      </c>
      <c r="B10" s="79" t="s">
        <v>623</v>
      </c>
      <c r="C10" s="79"/>
      <c r="D10" s="79"/>
      <c r="E10" s="79"/>
      <c r="F10" s="79"/>
      <c r="G10" s="9">
        <f t="shared" si="2"/>
        <v>0</v>
      </c>
      <c r="H10" s="80">
        <f t="shared" si="0"/>
        <v>0</v>
      </c>
      <c r="I10" s="9">
        <f>'2011'!C13+'2015'!C10</f>
        <v>1</v>
      </c>
      <c r="J10" s="9">
        <f>'2011'!G13+'2015'!G10</f>
        <v>7</v>
      </c>
      <c r="K10" s="81">
        <f t="shared" si="1"/>
        <v>0.005658852061438965</v>
      </c>
    </row>
    <row r="11" spans="1:11" ht="12.75">
      <c r="A11" s="79" t="s">
        <v>624</v>
      </c>
      <c r="B11" s="79" t="s">
        <v>625</v>
      </c>
      <c r="C11" s="79">
        <v>1</v>
      </c>
      <c r="D11" s="79"/>
      <c r="E11" s="79">
        <v>3</v>
      </c>
      <c r="F11" s="79">
        <v>1</v>
      </c>
      <c r="G11" s="9">
        <f t="shared" si="2"/>
        <v>4</v>
      </c>
      <c r="H11" s="80">
        <f t="shared" si="0"/>
        <v>0.013651877133105802</v>
      </c>
      <c r="I11" s="9">
        <f>'2011'!C15+'2012'!C15+'2013'!C15+'2014'!C11+'2015'!C11</f>
        <v>8</v>
      </c>
      <c r="J11" s="9">
        <f>'2011'!G15+'2012'!G15+'2013'!G15+'2014'!G11+'2015'!G11</f>
        <v>42</v>
      </c>
      <c r="K11" s="81">
        <f t="shared" si="1"/>
        <v>0.03395311236863379</v>
      </c>
    </row>
    <row r="12" spans="1:11" ht="12.75">
      <c r="A12" s="79" t="s">
        <v>602</v>
      </c>
      <c r="B12" s="79" t="s">
        <v>603</v>
      </c>
      <c r="C12" s="79">
        <v>2</v>
      </c>
      <c r="D12" s="79"/>
      <c r="E12" s="79">
        <v>7</v>
      </c>
      <c r="F12" s="79">
        <v>7</v>
      </c>
      <c r="G12" s="9">
        <f t="shared" si="2"/>
        <v>14</v>
      </c>
      <c r="H12" s="80">
        <f t="shared" si="0"/>
        <v>0.04778156996587031</v>
      </c>
      <c r="I12" s="9">
        <f>'2011'!C17+'2012'!C17+'2013'!C16+'2015'!C12</f>
        <v>7</v>
      </c>
      <c r="J12" s="9">
        <f>'2011'!G17+'2012'!G17+'2013'!G16+'2015'!G12</f>
        <v>28</v>
      </c>
      <c r="K12" s="81">
        <f t="shared" si="1"/>
        <v>0.02263540824575586</v>
      </c>
    </row>
    <row r="13" spans="1:11" ht="12.75">
      <c r="A13" s="79" t="s">
        <v>571</v>
      </c>
      <c r="B13" s="79" t="s">
        <v>572</v>
      </c>
      <c r="C13" s="79"/>
      <c r="D13" s="79"/>
      <c r="E13" s="79"/>
      <c r="F13" s="79"/>
      <c r="G13" s="9">
        <f t="shared" si="2"/>
        <v>0</v>
      </c>
      <c r="H13" s="80">
        <f t="shared" si="0"/>
        <v>0</v>
      </c>
      <c r="I13" s="9">
        <f>'2012'!C20+'2013'!C18+'2015'!C13</f>
        <v>3</v>
      </c>
      <c r="J13" s="9">
        <f>'2012'!G20+'2013'!G18+'2015'!G13</f>
        <v>22</v>
      </c>
      <c r="K13" s="81">
        <f t="shared" si="1"/>
        <v>0.01778496362166532</v>
      </c>
    </row>
    <row r="14" spans="1:11" ht="12.75">
      <c r="A14" s="82" t="s">
        <v>639</v>
      </c>
      <c r="B14" s="79" t="s">
        <v>640</v>
      </c>
      <c r="C14" s="79"/>
      <c r="D14" s="79"/>
      <c r="E14" s="79"/>
      <c r="F14" s="79"/>
      <c r="G14" s="9">
        <f t="shared" si="2"/>
        <v>0</v>
      </c>
      <c r="H14" s="80">
        <f t="shared" si="0"/>
        <v>0</v>
      </c>
      <c r="I14" s="9">
        <f>'2012'!C25+'2013'!C23+'2014'!C17+'2015'!C14</f>
        <v>8</v>
      </c>
      <c r="J14" s="9">
        <f>'2012'!G25+'2013'!G23+'2014'!G17+'2015'!G14</f>
        <v>61</v>
      </c>
      <c r="K14" s="83">
        <f t="shared" si="1"/>
        <v>0.04931285367825384</v>
      </c>
    </row>
    <row r="15" spans="1:11" ht="12.75">
      <c r="A15" s="79" t="s">
        <v>641</v>
      </c>
      <c r="B15" s="79" t="s">
        <v>659</v>
      </c>
      <c r="C15" s="79">
        <v>2</v>
      </c>
      <c r="D15" s="79"/>
      <c r="E15" s="79">
        <v>9</v>
      </c>
      <c r="F15" s="79">
        <v>5</v>
      </c>
      <c r="G15" s="9">
        <f t="shared" si="2"/>
        <v>14</v>
      </c>
      <c r="H15" s="80">
        <f t="shared" si="0"/>
        <v>0.04778156996587031</v>
      </c>
      <c r="I15" s="9">
        <f>'2012'!C26+'2014'!C18+'2015'!C15</f>
        <v>6</v>
      </c>
      <c r="J15" s="9">
        <f>'2012'!G26+'2014'!G18+'2015'!G15</f>
        <v>36</v>
      </c>
      <c r="K15" s="81">
        <f t="shared" si="1"/>
        <v>0.02910266774454325</v>
      </c>
    </row>
    <row r="16" spans="1:11" ht="12.75">
      <c r="A16" s="79" t="s">
        <v>543</v>
      </c>
      <c r="B16" s="79" t="s">
        <v>544</v>
      </c>
      <c r="C16" s="79"/>
      <c r="D16" s="79"/>
      <c r="E16" s="79"/>
      <c r="F16" s="79"/>
      <c r="G16" s="9">
        <f t="shared" si="2"/>
        <v>0</v>
      </c>
      <c r="H16" s="80">
        <f t="shared" si="0"/>
        <v>0</v>
      </c>
      <c r="I16" s="9">
        <f>'2011'!C26</f>
        <v>1</v>
      </c>
      <c r="J16" s="9">
        <f>'2011'!G26</f>
        <v>9</v>
      </c>
      <c r="K16" s="81">
        <f t="shared" si="1"/>
        <v>0.007275666936135812</v>
      </c>
    </row>
    <row r="17" spans="1:11" ht="12.75">
      <c r="A17" s="79" t="s">
        <v>604</v>
      </c>
      <c r="B17" s="79" t="s">
        <v>605</v>
      </c>
      <c r="C17" s="79"/>
      <c r="D17" s="79"/>
      <c r="E17" s="79"/>
      <c r="F17" s="79"/>
      <c r="G17" s="9">
        <f t="shared" si="2"/>
        <v>0</v>
      </c>
      <c r="H17" s="80">
        <f t="shared" si="0"/>
        <v>0</v>
      </c>
      <c r="I17" s="9">
        <f>'2011'!C28+'2015'!C17</f>
        <v>2</v>
      </c>
      <c r="J17" s="9">
        <f>'2011'!G28+'2015'!G17</f>
        <v>9</v>
      </c>
      <c r="K17" s="81">
        <f t="shared" si="1"/>
        <v>0.007275666936135812</v>
      </c>
    </row>
    <row r="18" spans="1:11" ht="12.75">
      <c r="A18" s="84" t="s">
        <v>643</v>
      </c>
      <c r="B18" s="79" t="s">
        <v>644</v>
      </c>
      <c r="C18" s="79">
        <v>3</v>
      </c>
      <c r="D18" s="79"/>
      <c r="E18" s="79">
        <v>10</v>
      </c>
      <c r="F18" s="79">
        <v>8</v>
      </c>
      <c r="G18" s="9">
        <f t="shared" si="2"/>
        <v>18</v>
      </c>
      <c r="H18" s="80">
        <f t="shared" si="0"/>
        <v>0.06143344709897611</v>
      </c>
      <c r="I18" s="9">
        <f>'2012'!C30+'2013'!C28+'2014'!C21+C18</f>
        <v>8</v>
      </c>
      <c r="J18" s="9">
        <f>'2012'!G30+'2013'!G28+'2014'!G21+'2015'!G18</f>
        <v>56</v>
      </c>
      <c r="K18" s="85">
        <f t="shared" si="1"/>
        <v>0.04527081649151172</v>
      </c>
    </row>
    <row r="19" spans="1:11" ht="12.75">
      <c r="A19" s="79" t="s">
        <v>606</v>
      </c>
      <c r="B19" s="79" t="s">
        <v>607</v>
      </c>
      <c r="C19" s="79"/>
      <c r="D19" s="79"/>
      <c r="E19" s="79"/>
      <c r="F19" s="79"/>
      <c r="G19" s="9">
        <f t="shared" si="2"/>
        <v>0</v>
      </c>
      <c r="H19" s="80">
        <f t="shared" si="0"/>
        <v>0</v>
      </c>
      <c r="I19" s="9">
        <f>'2011'!C32+'2012'!C34+'2013'!C31+'2014'!C22+'2015'!C19</f>
        <v>5</v>
      </c>
      <c r="J19" s="9">
        <f>'2011'!G32+'2012'!G34+'2013'!G31+'2014'!G22+'2015'!G19</f>
        <v>32</v>
      </c>
      <c r="K19" s="81">
        <f t="shared" si="1"/>
        <v>0.025869037995149554</v>
      </c>
    </row>
    <row r="20" spans="1:11" ht="12.75">
      <c r="A20" s="79" t="s">
        <v>660</v>
      </c>
      <c r="B20" s="79" t="s">
        <v>661</v>
      </c>
      <c r="C20" s="79">
        <v>2</v>
      </c>
      <c r="D20" s="79"/>
      <c r="E20" s="79">
        <v>10</v>
      </c>
      <c r="F20" s="79">
        <v>7</v>
      </c>
      <c r="G20" s="9">
        <f t="shared" si="2"/>
        <v>17</v>
      </c>
      <c r="H20" s="80">
        <f t="shared" si="0"/>
        <v>0.05802047781569966</v>
      </c>
      <c r="I20" s="9">
        <f>'2013'!C32+'2014'!C23+'2015'!C20</f>
        <v>6</v>
      </c>
      <c r="J20" s="9">
        <f>'2013'!G32+'2014'!G23+'2015'!G20</f>
        <v>44</v>
      </c>
      <c r="K20" s="81">
        <f t="shared" si="1"/>
        <v>0.03556992724333064</v>
      </c>
    </row>
    <row r="21" spans="1:11" ht="12.75">
      <c r="A21" s="79" t="s">
        <v>496</v>
      </c>
      <c r="B21" s="79" t="s">
        <v>497</v>
      </c>
      <c r="C21" s="79"/>
      <c r="D21" s="79"/>
      <c r="E21" s="79"/>
      <c r="F21" s="79"/>
      <c r="G21" s="9">
        <f t="shared" si="2"/>
        <v>0</v>
      </c>
      <c r="H21" s="80">
        <f t="shared" si="0"/>
        <v>0</v>
      </c>
      <c r="I21" s="9">
        <f>'2011'!C34+'2015'!C21</f>
        <v>1</v>
      </c>
      <c r="J21" s="9">
        <f>'2011'!G34+'2015'!G21</f>
        <v>3</v>
      </c>
      <c r="K21" s="81">
        <f t="shared" si="1"/>
        <v>0.002425222312045271</v>
      </c>
    </row>
    <row r="22" spans="1:11" ht="12.75">
      <c r="A22" s="79" t="s">
        <v>626</v>
      </c>
      <c r="B22" s="79" t="s">
        <v>627</v>
      </c>
      <c r="C22" s="79">
        <v>1</v>
      </c>
      <c r="D22" s="79"/>
      <c r="E22" s="79">
        <v>4</v>
      </c>
      <c r="F22" s="79">
        <v>6</v>
      </c>
      <c r="G22" s="9">
        <f t="shared" si="2"/>
        <v>10</v>
      </c>
      <c r="H22" s="80">
        <f t="shared" si="0"/>
        <v>0.034129692832764506</v>
      </c>
      <c r="I22" s="9">
        <f>'2011'!C36+'2013'!C34+'2015'!C22</f>
        <v>3</v>
      </c>
      <c r="J22" s="9">
        <f>'2011'!G36+'2013'!G34+'2015'!G22</f>
        <v>26</v>
      </c>
      <c r="K22" s="81">
        <f t="shared" si="1"/>
        <v>0.021018593371059015</v>
      </c>
    </row>
    <row r="23" spans="1:11" ht="12.75">
      <c r="A23" s="79" t="s">
        <v>645</v>
      </c>
      <c r="B23" s="79" t="s">
        <v>646</v>
      </c>
      <c r="C23" s="79"/>
      <c r="D23" s="79"/>
      <c r="E23" s="79"/>
      <c r="F23" s="79"/>
      <c r="G23" s="9">
        <f t="shared" si="2"/>
        <v>0</v>
      </c>
      <c r="H23" s="80">
        <f t="shared" si="0"/>
        <v>0</v>
      </c>
      <c r="I23" s="9">
        <f>'2012'!C38+'2015'!C23</f>
        <v>1</v>
      </c>
      <c r="J23" s="9">
        <f>'2012'!G38+'2015'!G23</f>
        <v>7</v>
      </c>
      <c r="K23" s="81">
        <f t="shared" si="1"/>
        <v>0.005658852061438965</v>
      </c>
    </row>
    <row r="24" spans="1:11" ht="12.75">
      <c r="A24" s="79" t="s">
        <v>662</v>
      </c>
      <c r="B24" s="79" t="s">
        <v>663</v>
      </c>
      <c r="C24" s="79">
        <v>1</v>
      </c>
      <c r="D24" s="79"/>
      <c r="E24" s="79">
        <v>3</v>
      </c>
      <c r="F24" s="79">
        <v>4</v>
      </c>
      <c r="G24" s="9">
        <f t="shared" si="2"/>
        <v>7</v>
      </c>
      <c r="H24" s="80">
        <f t="shared" si="0"/>
        <v>0.023890784982935155</v>
      </c>
      <c r="I24" s="9">
        <f>'2013'!C36+'2014'!C27+'2015'!C24</f>
        <v>3</v>
      </c>
      <c r="J24" s="9">
        <f>'2013'!G36+'2014'!G27+'2015'!G24</f>
        <v>21</v>
      </c>
      <c r="K24" s="81">
        <f t="shared" si="1"/>
        <v>0.016976556184316895</v>
      </c>
    </row>
    <row r="25" spans="1:11" ht="12.75">
      <c r="A25" s="79" t="s">
        <v>701</v>
      </c>
      <c r="B25" s="79" t="s">
        <v>702</v>
      </c>
      <c r="C25" s="79">
        <v>1</v>
      </c>
      <c r="D25" s="79"/>
      <c r="E25" s="79">
        <v>5</v>
      </c>
      <c r="F25" s="79">
        <v>6</v>
      </c>
      <c r="G25" s="9">
        <v>11</v>
      </c>
      <c r="H25" s="80">
        <f t="shared" si="0"/>
        <v>0.03754266211604096</v>
      </c>
      <c r="I25" s="9">
        <v>1</v>
      </c>
      <c r="J25" s="9">
        <v>11</v>
      </c>
      <c r="K25" s="81">
        <f t="shared" si="1"/>
        <v>0.00889248181083266</v>
      </c>
    </row>
    <row r="26" spans="1:11" ht="12.75">
      <c r="A26" s="79" t="s">
        <v>681</v>
      </c>
      <c r="B26" s="79" t="s">
        <v>682</v>
      </c>
      <c r="C26" s="79">
        <v>1</v>
      </c>
      <c r="D26" s="79"/>
      <c r="E26" s="79">
        <v>4</v>
      </c>
      <c r="F26" s="79">
        <v>3</v>
      </c>
      <c r="G26" s="9">
        <f>SUM(E26+F26)</f>
        <v>7</v>
      </c>
      <c r="H26" s="80">
        <f t="shared" si="0"/>
        <v>0.023890784982935155</v>
      </c>
      <c r="I26" s="9">
        <f>'2014'!C29+'2015'!C26</f>
        <v>3</v>
      </c>
      <c r="J26" s="9">
        <f>'2014'!G29+'2015'!G26</f>
        <v>25</v>
      </c>
      <c r="K26" s="81">
        <f t="shared" si="1"/>
        <v>0.02021018593371059</v>
      </c>
    </row>
    <row r="27" spans="1:11" ht="12.75">
      <c r="A27" s="79" t="s">
        <v>703</v>
      </c>
      <c r="B27" s="79" t="s">
        <v>704</v>
      </c>
      <c r="C27" s="79">
        <v>1</v>
      </c>
      <c r="D27" s="79"/>
      <c r="E27" s="79">
        <v>5</v>
      </c>
      <c r="F27" s="79">
        <v>2</v>
      </c>
      <c r="G27" s="9">
        <f>SUM(E27+F27)</f>
        <v>7</v>
      </c>
      <c r="H27" s="80">
        <f t="shared" si="0"/>
        <v>0.023890784982935155</v>
      </c>
      <c r="I27" s="9">
        <f>C27</f>
        <v>1</v>
      </c>
      <c r="J27" s="9">
        <f>G27</f>
        <v>7</v>
      </c>
      <c r="K27" s="81">
        <f t="shared" si="1"/>
        <v>0.005658852061438965</v>
      </c>
    </row>
    <row r="28" spans="1:11" ht="12.75">
      <c r="A28" s="79" t="s">
        <v>629</v>
      </c>
      <c r="B28" s="79" t="s">
        <v>630</v>
      </c>
      <c r="C28" s="79"/>
      <c r="D28" s="79"/>
      <c r="E28" s="79"/>
      <c r="F28" s="79"/>
      <c r="G28" s="9">
        <f>SUM(E28+F28)</f>
        <v>0</v>
      </c>
      <c r="H28" s="80">
        <f t="shared" si="0"/>
        <v>0</v>
      </c>
      <c r="I28" s="9">
        <f>'2011'!C39+'2015'!C28</f>
        <v>2</v>
      </c>
      <c r="J28" s="9">
        <f>'2011'!G39+'2015'!G28</f>
        <v>11</v>
      </c>
      <c r="K28" s="81">
        <f t="shared" si="1"/>
        <v>0.00889248181083266</v>
      </c>
    </row>
    <row r="29" spans="1:11" ht="12.75">
      <c r="A29" s="79" t="s">
        <v>705</v>
      </c>
      <c r="B29" s="79" t="s">
        <v>706</v>
      </c>
      <c r="C29" s="79">
        <v>1</v>
      </c>
      <c r="D29" s="79"/>
      <c r="E29" s="79">
        <v>2</v>
      </c>
      <c r="F29" s="79">
        <v>4</v>
      </c>
      <c r="G29" s="9">
        <v>6</v>
      </c>
      <c r="H29" s="80">
        <f t="shared" si="0"/>
        <v>0.020477815699658702</v>
      </c>
      <c r="I29" s="9">
        <v>1</v>
      </c>
      <c r="J29" s="9">
        <v>6</v>
      </c>
      <c r="K29" s="81">
        <f t="shared" si="1"/>
        <v>0.004850444624090542</v>
      </c>
    </row>
    <row r="30" spans="1:11" ht="12.75">
      <c r="A30" s="79" t="s">
        <v>707</v>
      </c>
      <c r="B30" s="79" t="s">
        <v>708</v>
      </c>
      <c r="C30" s="79">
        <v>1</v>
      </c>
      <c r="D30" s="79"/>
      <c r="E30" s="79">
        <v>6</v>
      </c>
      <c r="F30" s="79">
        <v>3</v>
      </c>
      <c r="G30" s="9">
        <f>SUM(E30+F30)</f>
        <v>9</v>
      </c>
      <c r="H30" s="80">
        <f t="shared" si="0"/>
        <v>0.030716723549488054</v>
      </c>
      <c r="I30" s="9">
        <f>C30</f>
        <v>1</v>
      </c>
      <c r="J30" s="9">
        <f>G30</f>
        <v>9</v>
      </c>
      <c r="K30" s="81">
        <f t="shared" si="1"/>
        <v>0.007275666936135812</v>
      </c>
    </row>
    <row r="31" spans="1:11" ht="12.75">
      <c r="A31" s="79" t="s">
        <v>683</v>
      </c>
      <c r="B31" s="79" t="s">
        <v>684</v>
      </c>
      <c r="C31" s="79"/>
      <c r="D31" s="79"/>
      <c r="E31" s="79"/>
      <c r="F31" s="79"/>
      <c r="G31" s="9">
        <f>SUM(E31+F31)</f>
        <v>0</v>
      </c>
      <c r="H31" s="80">
        <f t="shared" si="0"/>
        <v>0</v>
      </c>
      <c r="I31" s="9">
        <f>'2014'!C31+'2015'!C31</f>
        <v>1</v>
      </c>
      <c r="J31" s="9">
        <f>'2014'!G31+'2015'!G31</f>
        <v>9</v>
      </c>
      <c r="K31" s="81">
        <f t="shared" si="1"/>
        <v>0.007275666936135812</v>
      </c>
    </row>
    <row r="32" spans="1:11" ht="12.75">
      <c r="A32" s="79" t="s">
        <v>709</v>
      </c>
      <c r="B32" s="79" t="s">
        <v>710</v>
      </c>
      <c r="C32" s="79">
        <v>1</v>
      </c>
      <c r="D32" s="79"/>
      <c r="E32" s="79">
        <v>4</v>
      </c>
      <c r="F32" s="79">
        <v>6</v>
      </c>
      <c r="G32" s="9">
        <v>10</v>
      </c>
      <c r="H32" s="80">
        <f t="shared" si="0"/>
        <v>0.034129692832764506</v>
      </c>
      <c r="I32" s="9">
        <v>1</v>
      </c>
      <c r="J32" s="9">
        <v>10</v>
      </c>
      <c r="K32" s="81">
        <f t="shared" si="1"/>
        <v>0.008084074373484237</v>
      </c>
    </row>
    <row r="33" spans="1:11" ht="12.75">
      <c r="A33" s="79" t="s">
        <v>225</v>
      </c>
      <c r="B33" s="79" t="s">
        <v>581</v>
      </c>
      <c r="C33" s="79">
        <v>1</v>
      </c>
      <c r="D33" s="79"/>
      <c r="E33" s="79">
        <v>4</v>
      </c>
      <c r="F33" s="79">
        <v>4</v>
      </c>
      <c r="G33" s="9">
        <f aca="true" t="shared" si="3" ref="G33:G39">SUM(E33+F33)</f>
        <v>8</v>
      </c>
      <c r="H33" s="80">
        <f t="shared" si="0"/>
        <v>0.027303754266211604</v>
      </c>
      <c r="I33" s="9">
        <f>'2011'!C43+'2015'!C33</f>
        <v>3</v>
      </c>
      <c r="J33" s="9">
        <f>'2011'!G43+'2015'!G33</f>
        <v>22</v>
      </c>
      <c r="K33" s="81">
        <f t="shared" si="1"/>
        <v>0.01778496362166532</v>
      </c>
    </row>
    <row r="34" spans="1:11" ht="12.75">
      <c r="A34" s="79" t="s">
        <v>647</v>
      </c>
      <c r="B34" s="79" t="s">
        <v>648</v>
      </c>
      <c r="C34" s="79"/>
      <c r="D34" s="79"/>
      <c r="E34" s="79"/>
      <c r="F34" s="79"/>
      <c r="G34" s="9">
        <f t="shared" si="3"/>
        <v>0</v>
      </c>
      <c r="H34" s="80">
        <f t="shared" si="0"/>
        <v>0</v>
      </c>
      <c r="I34" s="9">
        <f>'2012'!C45+'2015'!C34</f>
        <v>1</v>
      </c>
      <c r="J34" s="9">
        <f>'2012'!G45+'2015'!G34</f>
        <v>7</v>
      </c>
      <c r="K34" s="81">
        <f t="shared" si="1"/>
        <v>0.005658852061438965</v>
      </c>
    </row>
    <row r="35" spans="1:11" ht="12.75">
      <c r="A35" s="79" t="s">
        <v>711</v>
      </c>
      <c r="B35" s="79" t="s">
        <v>712</v>
      </c>
      <c r="C35" s="79">
        <v>1</v>
      </c>
      <c r="D35" s="79"/>
      <c r="E35" s="79">
        <v>4</v>
      </c>
      <c r="F35" s="79">
        <v>4</v>
      </c>
      <c r="G35" s="9">
        <f t="shared" si="3"/>
        <v>8</v>
      </c>
      <c r="H35" s="80">
        <f aca="true" t="shared" si="4" ref="H35:H66">G35/$G$84</f>
        <v>0.027303754266211604</v>
      </c>
      <c r="I35" s="9">
        <f>C35</f>
        <v>1</v>
      </c>
      <c r="J35" s="9">
        <f>G35</f>
        <v>8</v>
      </c>
      <c r="K35" s="81">
        <f aca="true" t="shared" si="5" ref="K35:K66">J35/$J$84</f>
        <v>0.0064672594987873885</v>
      </c>
    </row>
    <row r="36" spans="1:11" ht="12.75">
      <c r="A36" s="79" t="s">
        <v>547</v>
      </c>
      <c r="B36" s="79" t="s">
        <v>548</v>
      </c>
      <c r="C36" s="79"/>
      <c r="D36" s="79"/>
      <c r="E36" s="79"/>
      <c r="F36" s="79"/>
      <c r="G36" s="9">
        <f t="shared" si="3"/>
        <v>0</v>
      </c>
      <c r="H36" s="80">
        <f t="shared" si="4"/>
        <v>0</v>
      </c>
      <c r="I36" s="9">
        <f>'2011'!C44+'2012'!C46+'2015'!C36</f>
        <v>2</v>
      </c>
      <c r="J36" s="9">
        <f>'2011'!G44+'2012'!G46+'2015'!G36</f>
        <v>16</v>
      </c>
      <c r="K36" s="81">
        <f t="shared" si="5"/>
        <v>0.012934518997574777</v>
      </c>
    </row>
    <row r="37" spans="1:11" ht="12.75">
      <c r="A37" s="86" t="s">
        <v>631</v>
      </c>
      <c r="B37" s="79" t="s">
        <v>632</v>
      </c>
      <c r="C37" s="79">
        <v>3</v>
      </c>
      <c r="D37" s="79"/>
      <c r="E37" s="79">
        <v>11</v>
      </c>
      <c r="F37" s="79">
        <v>10</v>
      </c>
      <c r="G37" s="9">
        <f t="shared" si="3"/>
        <v>21</v>
      </c>
      <c r="H37" s="80">
        <f t="shared" si="4"/>
        <v>0.07167235494880546</v>
      </c>
      <c r="I37" s="9">
        <f>'2011'!C46+'2012'!C48+'2014'!C37+'2015'!C37</f>
        <v>8</v>
      </c>
      <c r="J37" s="9">
        <f>'2011'!G46+'2012'!G48+'2014'!G37+'2015'!G37</f>
        <v>58</v>
      </c>
      <c r="K37" s="81">
        <f t="shared" si="5"/>
        <v>0.04688763136620857</v>
      </c>
    </row>
    <row r="38" spans="1:11" ht="12.75">
      <c r="A38" s="79" t="s">
        <v>664</v>
      </c>
      <c r="B38" s="79" t="s">
        <v>665</v>
      </c>
      <c r="C38" s="79"/>
      <c r="D38" s="79"/>
      <c r="E38" s="79"/>
      <c r="F38" s="79"/>
      <c r="G38" s="9">
        <f t="shared" si="3"/>
        <v>0</v>
      </c>
      <c r="H38" s="80">
        <f t="shared" si="4"/>
        <v>0</v>
      </c>
      <c r="I38" s="9">
        <f>'2013'!C47+'2015'!C38</f>
        <v>1</v>
      </c>
      <c r="J38" s="9">
        <f>'2013'!G47+'2015'!G38</f>
        <v>6</v>
      </c>
      <c r="K38" s="81">
        <f t="shared" si="5"/>
        <v>0.004850444624090542</v>
      </c>
    </row>
    <row r="39" spans="1:11" ht="12.75">
      <c r="A39" s="79" t="s">
        <v>666</v>
      </c>
      <c r="B39" s="79" t="s">
        <v>667</v>
      </c>
      <c r="C39" s="79"/>
      <c r="D39" s="79"/>
      <c r="E39" s="79"/>
      <c r="F39" s="79"/>
      <c r="G39" s="9">
        <f t="shared" si="3"/>
        <v>0</v>
      </c>
      <c r="H39" s="80">
        <f t="shared" si="4"/>
        <v>0</v>
      </c>
      <c r="I39" s="9">
        <f>'2013'!C48+'2015'!C39</f>
        <v>1</v>
      </c>
      <c r="J39" s="9">
        <f>'2013'!G48+'2015'!G39</f>
        <v>5</v>
      </c>
      <c r="K39" s="81">
        <f t="shared" si="5"/>
        <v>0.004042037186742118</v>
      </c>
    </row>
    <row r="40" spans="1:11" ht="12.75">
      <c r="A40" s="79" t="s">
        <v>713</v>
      </c>
      <c r="B40" s="79" t="s">
        <v>714</v>
      </c>
      <c r="C40" s="79">
        <v>1</v>
      </c>
      <c r="D40" s="79"/>
      <c r="E40" s="79">
        <v>5</v>
      </c>
      <c r="F40" s="79">
        <v>4</v>
      </c>
      <c r="G40" s="9">
        <v>9</v>
      </c>
      <c r="H40" s="80">
        <f t="shared" si="4"/>
        <v>0.030716723549488054</v>
      </c>
      <c r="I40" s="9">
        <v>1</v>
      </c>
      <c r="J40" s="9">
        <v>9</v>
      </c>
      <c r="K40" s="81">
        <f t="shared" si="5"/>
        <v>0.007275666936135812</v>
      </c>
    </row>
    <row r="41" spans="1:11" ht="12.75">
      <c r="A41" s="79" t="s">
        <v>715</v>
      </c>
      <c r="B41" s="79" t="s">
        <v>716</v>
      </c>
      <c r="C41" s="79">
        <v>1</v>
      </c>
      <c r="D41" s="79"/>
      <c r="E41" s="79">
        <v>5</v>
      </c>
      <c r="F41" s="79">
        <v>1</v>
      </c>
      <c r="G41" s="9">
        <f aca="true" t="shared" si="6" ref="G41:G52">SUM(E41+F41)</f>
        <v>6</v>
      </c>
      <c r="H41" s="80">
        <f t="shared" si="4"/>
        <v>0.020477815699658702</v>
      </c>
      <c r="I41" s="9">
        <f>C41</f>
        <v>1</v>
      </c>
      <c r="J41" s="9">
        <f>G41</f>
        <v>6</v>
      </c>
      <c r="K41" s="81">
        <f t="shared" si="5"/>
        <v>0.004850444624090542</v>
      </c>
    </row>
    <row r="42" spans="1:11" ht="12.75">
      <c r="A42" s="79" t="s">
        <v>150</v>
      </c>
      <c r="B42" s="79" t="s">
        <v>668</v>
      </c>
      <c r="C42" s="79">
        <v>1</v>
      </c>
      <c r="D42" s="79"/>
      <c r="E42" s="79">
        <v>2</v>
      </c>
      <c r="F42" s="79">
        <v>4</v>
      </c>
      <c r="G42" s="9">
        <f t="shared" si="6"/>
        <v>6</v>
      </c>
      <c r="H42" s="80">
        <f t="shared" si="4"/>
        <v>0.020477815699658702</v>
      </c>
      <c r="I42" s="9">
        <f>'2013'!C49+'2014'!C40+'2015'!C42</f>
        <v>5</v>
      </c>
      <c r="J42" s="9">
        <f>'2013'!G49+'2014'!G40+'2015'!G42</f>
        <v>37</v>
      </c>
      <c r="K42" s="81">
        <f t="shared" si="5"/>
        <v>0.029911075181891674</v>
      </c>
    </row>
    <row r="43" spans="1:11" ht="12.75">
      <c r="A43" s="79" t="s">
        <v>582</v>
      </c>
      <c r="B43" s="79" t="s">
        <v>583</v>
      </c>
      <c r="C43" s="79"/>
      <c r="D43" s="79"/>
      <c r="E43" s="79"/>
      <c r="F43" s="79"/>
      <c r="G43" s="9">
        <f t="shared" si="6"/>
        <v>0</v>
      </c>
      <c r="H43" s="80">
        <f t="shared" si="4"/>
        <v>0</v>
      </c>
      <c r="I43" s="9">
        <f>'2013'!C50+'2015'!C43</f>
        <v>2</v>
      </c>
      <c r="J43" s="9">
        <f>'2013'!G50+'2015'!G43</f>
        <v>17</v>
      </c>
      <c r="K43" s="81">
        <f t="shared" si="5"/>
        <v>0.0137429264349232</v>
      </c>
    </row>
    <row r="44" spans="1:11" ht="12.75">
      <c r="A44" s="79" t="s">
        <v>555</v>
      </c>
      <c r="B44" s="79" t="s">
        <v>556</v>
      </c>
      <c r="C44" s="79"/>
      <c r="D44" s="79"/>
      <c r="E44" s="79"/>
      <c r="F44" s="79"/>
      <c r="G44" s="9">
        <f t="shared" si="6"/>
        <v>0</v>
      </c>
      <c r="H44" s="80">
        <f t="shared" si="4"/>
        <v>0</v>
      </c>
      <c r="I44" s="9">
        <f>'2011'!C50+'2015'!C44</f>
        <v>1</v>
      </c>
      <c r="J44" s="9">
        <f>'2011'!G50+'2015'!G44</f>
        <v>6</v>
      </c>
      <c r="K44" s="81">
        <f t="shared" si="5"/>
        <v>0.004850444624090542</v>
      </c>
    </row>
    <row r="45" spans="1:11" ht="12.75">
      <c r="A45" s="79" t="s">
        <v>501</v>
      </c>
      <c r="B45" s="79" t="s">
        <v>423</v>
      </c>
      <c r="C45" s="79"/>
      <c r="D45" s="79"/>
      <c r="E45" s="79"/>
      <c r="F45" s="79"/>
      <c r="G45" s="9">
        <f t="shared" si="6"/>
        <v>0</v>
      </c>
      <c r="H45" s="80">
        <f t="shared" si="4"/>
        <v>0</v>
      </c>
      <c r="I45" s="9">
        <f>'2011'!C52+'2015'!C45</f>
        <v>2</v>
      </c>
      <c r="J45" s="9">
        <f>'2011'!G52+'2015'!G45</f>
        <v>4</v>
      </c>
      <c r="K45" s="81">
        <f t="shared" si="5"/>
        <v>0.0032336297493936943</v>
      </c>
    </row>
    <row r="46" spans="1:11" ht="12.75">
      <c r="A46" s="79" t="s">
        <v>557</v>
      </c>
      <c r="B46" s="79" t="s">
        <v>558</v>
      </c>
      <c r="C46" s="79"/>
      <c r="D46" s="79"/>
      <c r="E46" s="79"/>
      <c r="F46" s="79"/>
      <c r="G46" s="9">
        <f t="shared" si="6"/>
        <v>0</v>
      </c>
      <c r="H46" s="80">
        <f t="shared" si="4"/>
        <v>0</v>
      </c>
      <c r="I46" s="9">
        <f>'2013'!C53+'2015'!C46</f>
        <v>1</v>
      </c>
      <c r="J46" s="9">
        <f>'2013'!G53+'2015'!G46</f>
        <v>5</v>
      </c>
      <c r="K46" s="81">
        <f t="shared" si="5"/>
        <v>0.004042037186742118</v>
      </c>
    </row>
    <row r="47" spans="1:11" ht="12.75">
      <c r="A47" s="79" t="s">
        <v>669</v>
      </c>
      <c r="B47" s="79" t="s">
        <v>670</v>
      </c>
      <c r="C47" s="79">
        <v>2</v>
      </c>
      <c r="D47" s="79"/>
      <c r="E47" s="79">
        <v>11</v>
      </c>
      <c r="F47" s="79">
        <v>3</v>
      </c>
      <c r="G47" s="9">
        <f t="shared" si="6"/>
        <v>14</v>
      </c>
      <c r="H47" s="80">
        <f t="shared" si="4"/>
        <v>0.04778156996587031</v>
      </c>
      <c r="I47" s="9">
        <f>'2013'!C55+'2014'!C45+'2015'!C47</f>
        <v>6</v>
      </c>
      <c r="J47" s="9">
        <f>'2013'!G55+'2014'!G45+'2015'!G47</f>
        <v>35</v>
      </c>
      <c r="K47" s="81">
        <f t="shared" si="5"/>
        <v>0.028294260307194827</v>
      </c>
    </row>
    <row r="48" spans="1:11" ht="12.75">
      <c r="A48" s="79" t="s">
        <v>633</v>
      </c>
      <c r="B48" s="79" t="s">
        <v>634</v>
      </c>
      <c r="C48" s="79"/>
      <c r="D48" s="79"/>
      <c r="E48" s="79"/>
      <c r="F48" s="79"/>
      <c r="G48" s="9">
        <f t="shared" si="6"/>
        <v>0</v>
      </c>
      <c r="H48" s="80">
        <f t="shared" si="4"/>
        <v>0</v>
      </c>
      <c r="I48" s="9">
        <f>'2011'!C58+'2012'!C59+'2013'!C58+'2014'!C46+'2015'!C48</f>
        <v>6</v>
      </c>
      <c r="J48" s="9">
        <f>'2011'!G58+'2012'!G59+'2013'!G58+'2014'!G46+'2015'!G48</f>
        <v>47</v>
      </c>
      <c r="K48" s="81">
        <f t="shared" si="5"/>
        <v>0.03799514955537591</v>
      </c>
    </row>
    <row r="49" spans="1:11" ht="12.75">
      <c r="A49" s="79" t="s">
        <v>586</v>
      </c>
      <c r="B49" s="79" t="s">
        <v>587</v>
      </c>
      <c r="C49" s="79"/>
      <c r="D49" s="79"/>
      <c r="E49" s="79"/>
      <c r="F49" s="79"/>
      <c r="G49" s="9">
        <f t="shared" si="6"/>
        <v>0</v>
      </c>
      <c r="H49" s="80">
        <f t="shared" si="4"/>
        <v>0</v>
      </c>
      <c r="I49" s="9">
        <f>'2011'!C59+'2012'!C60+'2015'!C49</f>
        <v>4</v>
      </c>
      <c r="J49" s="9">
        <f>'2011'!G59+'2012'!G60+'2015'!G49</f>
        <v>20</v>
      </c>
      <c r="K49" s="81">
        <f t="shared" si="5"/>
        <v>0.016168148746968473</v>
      </c>
    </row>
    <row r="50" spans="1:11" ht="12.75">
      <c r="A50" s="84" t="s">
        <v>588</v>
      </c>
      <c r="B50" s="79" t="s">
        <v>589</v>
      </c>
      <c r="C50" s="79">
        <v>3</v>
      </c>
      <c r="D50" s="79"/>
      <c r="E50" s="79">
        <v>17</v>
      </c>
      <c r="F50" s="79">
        <v>12</v>
      </c>
      <c r="G50" s="9">
        <f t="shared" si="6"/>
        <v>29</v>
      </c>
      <c r="H50" s="80">
        <f t="shared" si="4"/>
        <v>0.09897610921501707</v>
      </c>
      <c r="I50" s="87">
        <f>'2011'!C60+'2013'!C60+'2014'!C48+'2015'!C50</f>
        <v>9</v>
      </c>
      <c r="J50" s="9">
        <f>'2011'!G60+'2013'!G60+'2014'!G48+'2015'!G50</f>
        <v>60</v>
      </c>
      <c r="K50" s="85">
        <f t="shared" si="5"/>
        <v>0.04850444624090541</v>
      </c>
    </row>
    <row r="51" spans="1:11" ht="12.75">
      <c r="A51" s="79" t="s">
        <v>685</v>
      </c>
      <c r="B51" s="79" t="s">
        <v>686</v>
      </c>
      <c r="C51" s="79">
        <v>3</v>
      </c>
      <c r="D51" s="79"/>
      <c r="E51" s="79">
        <v>6</v>
      </c>
      <c r="F51" s="79">
        <v>8</v>
      </c>
      <c r="G51" s="9">
        <f t="shared" si="6"/>
        <v>14</v>
      </c>
      <c r="H51" s="80">
        <f t="shared" si="4"/>
        <v>0.04778156996587031</v>
      </c>
      <c r="I51" s="9">
        <f>'2014'!C49+'2015'!C51</f>
        <v>4</v>
      </c>
      <c r="J51" s="9">
        <f>'2014'!G49+'2015'!G51</f>
        <v>18</v>
      </c>
      <c r="K51" s="81">
        <f t="shared" si="5"/>
        <v>0.014551333872271624</v>
      </c>
    </row>
    <row r="52" spans="1:11" ht="12.75">
      <c r="A52" s="79" t="s">
        <v>649</v>
      </c>
      <c r="B52" s="79" t="s">
        <v>650</v>
      </c>
      <c r="C52" s="79"/>
      <c r="D52" s="79"/>
      <c r="E52" s="79"/>
      <c r="F52" s="79"/>
      <c r="G52" s="9">
        <f t="shared" si="6"/>
        <v>0</v>
      </c>
      <c r="H52" s="80">
        <f t="shared" si="4"/>
        <v>0</v>
      </c>
      <c r="I52" s="9">
        <f>'2012'!C63+'2015'!C52</f>
        <v>1</v>
      </c>
      <c r="J52" s="9">
        <f>'2012'!G63+'2015'!G52</f>
        <v>8</v>
      </c>
      <c r="K52" s="81">
        <f t="shared" si="5"/>
        <v>0.0064672594987873885</v>
      </c>
    </row>
    <row r="53" spans="1:11" ht="12.75">
      <c r="A53" s="79"/>
      <c r="B53" s="79"/>
      <c r="C53" s="79"/>
      <c r="D53" s="79"/>
      <c r="E53" s="79"/>
      <c r="F53" s="79"/>
      <c r="G53" s="9"/>
      <c r="H53" s="80"/>
      <c r="I53" s="9"/>
      <c r="J53" s="9"/>
      <c r="K53" s="81"/>
    </row>
    <row r="54" spans="1:11" ht="12.75">
      <c r="A54" s="79" t="s">
        <v>502</v>
      </c>
      <c r="B54" s="79"/>
      <c r="C54" s="88">
        <f>SUM(C3:C52)</f>
        <v>36</v>
      </c>
      <c r="D54" s="79"/>
      <c r="E54" s="88">
        <f>SUM(E3:E52)</f>
        <v>144</v>
      </c>
      <c r="F54" s="88">
        <f>SUM(F3:F52)</f>
        <v>121</v>
      </c>
      <c r="G54" s="9">
        <f>SUM(G3:G52)</f>
        <v>265</v>
      </c>
      <c r="H54" s="80">
        <f>G54/$G$84</f>
        <v>0.9044368600682594</v>
      </c>
      <c r="J54" s="9">
        <f>SUM(J3:J52)</f>
        <v>952</v>
      </c>
      <c r="K54" s="81">
        <f>J54/$J$84</f>
        <v>0.7696038803556993</v>
      </c>
    </row>
    <row r="55" spans="1:11" ht="12.75">
      <c r="A55" s="79"/>
      <c r="B55" s="79"/>
      <c r="C55" s="79"/>
      <c r="D55" s="79"/>
      <c r="E55" s="79"/>
      <c r="F55" s="79"/>
      <c r="H55" s="80"/>
      <c r="K55" s="81"/>
    </row>
    <row r="56" spans="1:11" ht="12.75">
      <c r="A56" s="79"/>
      <c r="B56" s="79"/>
      <c r="C56" s="79"/>
      <c r="D56" s="79"/>
      <c r="E56" s="79"/>
      <c r="F56" s="79"/>
      <c r="H56" s="80"/>
      <c r="K56" s="81"/>
    </row>
    <row r="57" spans="1:11" ht="12.75">
      <c r="A57" s="79" t="s">
        <v>687</v>
      </c>
      <c r="B57" s="79" t="s">
        <v>688</v>
      </c>
      <c r="C57" s="79"/>
      <c r="D57" s="79"/>
      <c r="E57" s="79"/>
      <c r="F57" s="79"/>
      <c r="G57" s="9">
        <f aca="true" t="shared" si="7" ref="G57:G68">SUM(E57+F57)</f>
        <v>0</v>
      </c>
      <c r="H57" s="80">
        <f aca="true" t="shared" si="8" ref="H57:H76">G57/$G$84</f>
        <v>0</v>
      </c>
      <c r="I57" s="9">
        <f>'2014'!C56+'2015'!C57</f>
        <v>2</v>
      </c>
      <c r="J57" s="9">
        <f>'2014'!G56+'2015'!G58</f>
        <v>16</v>
      </c>
      <c r="K57" s="81">
        <f aca="true" t="shared" si="9" ref="K57:K76">J57/$J$84</f>
        <v>0.012934518997574777</v>
      </c>
    </row>
    <row r="58" spans="1:11" ht="12.75">
      <c r="A58" s="79" t="s">
        <v>671</v>
      </c>
      <c r="B58" s="79" t="s">
        <v>672</v>
      </c>
      <c r="C58" s="79"/>
      <c r="D58" s="79"/>
      <c r="E58" s="79"/>
      <c r="F58" s="79"/>
      <c r="G58" s="9">
        <f t="shared" si="7"/>
        <v>0</v>
      </c>
      <c r="H58" s="80">
        <f t="shared" si="8"/>
        <v>0</v>
      </c>
      <c r="I58" s="9">
        <f>'2013'!C67+'2015'!C58</f>
        <v>1</v>
      </c>
      <c r="J58" s="9">
        <f>'2013'!G67+'2015'!G58</f>
        <v>5</v>
      </c>
      <c r="K58" s="81">
        <f t="shared" si="9"/>
        <v>0.004042037186742118</v>
      </c>
    </row>
    <row r="59" spans="1:11" ht="12.75">
      <c r="A59" s="79" t="s">
        <v>103</v>
      </c>
      <c r="B59" s="79" t="s">
        <v>592</v>
      </c>
      <c r="C59" s="79"/>
      <c r="D59" s="79"/>
      <c r="E59" s="79"/>
      <c r="F59" s="79"/>
      <c r="G59" s="9">
        <f t="shared" si="7"/>
        <v>0</v>
      </c>
      <c r="H59" s="80">
        <f t="shared" si="8"/>
        <v>0</v>
      </c>
      <c r="I59" s="9">
        <f>'2012'!C70+'2015'!C59</f>
        <v>1</v>
      </c>
      <c r="J59" s="9">
        <f>'2012'!G70+'2015'!G60</f>
        <v>6</v>
      </c>
      <c r="K59" s="81">
        <f t="shared" si="9"/>
        <v>0.004850444624090542</v>
      </c>
    </row>
    <row r="60" spans="1:11" ht="12.75">
      <c r="A60" s="79" t="s">
        <v>593</v>
      </c>
      <c r="B60" s="79" t="s">
        <v>594</v>
      </c>
      <c r="C60" s="79"/>
      <c r="D60" s="79"/>
      <c r="E60" s="79"/>
      <c r="F60" s="79"/>
      <c r="G60" s="9">
        <f t="shared" si="7"/>
        <v>0</v>
      </c>
      <c r="H60" s="80">
        <f t="shared" si="8"/>
        <v>0</v>
      </c>
      <c r="I60" s="9">
        <f>'2011'!C70+'2013'!C70+'2015'!C60</f>
        <v>2</v>
      </c>
      <c r="J60" s="9">
        <f>'2011'!G70+'2013'!G70+'2015'!G61</f>
        <v>14</v>
      </c>
      <c r="K60" s="81">
        <f t="shared" si="9"/>
        <v>0.01131770412287793</v>
      </c>
    </row>
    <row r="61" spans="1:11" ht="12.75">
      <c r="A61" s="79" t="s">
        <v>651</v>
      </c>
      <c r="B61" s="79" t="s">
        <v>652</v>
      </c>
      <c r="C61" s="79"/>
      <c r="D61" s="79"/>
      <c r="E61" s="79"/>
      <c r="F61" s="79"/>
      <c r="G61" s="9">
        <f t="shared" si="7"/>
        <v>0</v>
      </c>
      <c r="H61" s="80">
        <f t="shared" si="8"/>
        <v>0</v>
      </c>
      <c r="I61" s="9">
        <f>'2012'!C72+'2013'!C71+'2014'!C61+'2015'!C61</f>
        <v>3</v>
      </c>
      <c r="J61" s="9">
        <f>'2012'!G72+'2013'!G71+'2014'!G61+'2015'!G62</f>
        <v>22</v>
      </c>
      <c r="K61" s="81">
        <f t="shared" si="9"/>
        <v>0.01778496362166532</v>
      </c>
    </row>
    <row r="62" spans="1:11" ht="12.75">
      <c r="A62" s="79" t="s">
        <v>673</v>
      </c>
      <c r="B62" s="79" t="s">
        <v>674</v>
      </c>
      <c r="C62" s="79"/>
      <c r="D62" s="79"/>
      <c r="E62" s="79"/>
      <c r="F62" s="79"/>
      <c r="G62" s="9">
        <f t="shared" si="7"/>
        <v>0</v>
      </c>
      <c r="H62" s="80">
        <f t="shared" si="8"/>
        <v>0</v>
      </c>
      <c r="I62" s="9">
        <f>'2013'!C73+'2015'!C62</f>
        <v>1</v>
      </c>
      <c r="J62" s="9">
        <f>'2013'!G73+'2015'!G63</f>
        <v>6</v>
      </c>
      <c r="K62" s="81">
        <f t="shared" si="9"/>
        <v>0.004850444624090542</v>
      </c>
    </row>
    <row r="63" spans="1:11" ht="12.75">
      <c r="A63" s="79" t="s">
        <v>503</v>
      </c>
      <c r="B63" s="79" t="s">
        <v>504</v>
      </c>
      <c r="C63" s="79"/>
      <c r="D63" s="79"/>
      <c r="E63" s="79"/>
      <c r="F63" s="79"/>
      <c r="G63" s="9">
        <f t="shared" si="7"/>
        <v>0</v>
      </c>
      <c r="H63" s="80">
        <f t="shared" si="8"/>
        <v>0</v>
      </c>
      <c r="I63" s="9">
        <f>'2011'!C72+'2012'!C74</f>
        <v>4</v>
      </c>
      <c r="J63" s="9">
        <f>'2011'!G72+'2012'!G74</f>
        <v>35</v>
      </c>
      <c r="K63" s="81">
        <f t="shared" si="9"/>
        <v>0.028294260307194827</v>
      </c>
    </row>
    <row r="64" spans="1:11" ht="12.75">
      <c r="A64" s="79" t="s">
        <v>616</v>
      </c>
      <c r="B64" s="79" t="s">
        <v>617</v>
      </c>
      <c r="C64" s="79"/>
      <c r="D64" s="79"/>
      <c r="E64" s="79"/>
      <c r="F64" s="79"/>
      <c r="G64" s="9">
        <f t="shared" si="7"/>
        <v>0</v>
      </c>
      <c r="H64" s="80">
        <f t="shared" si="8"/>
        <v>0</v>
      </c>
      <c r="I64" s="9">
        <f>'2012'!C75+'2015'!C64</f>
        <v>1</v>
      </c>
      <c r="J64" s="9">
        <f>'2012'!G75+'2015'!G65</f>
        <v>2</v>
      </c>
      <c r="K64" s="81">
        <f t="shared" si="9"/>
        <v>0.0016168148746968471</v>
      </c>
    </row>
    <row r="65" spans="1:11" ht="12.75">
      <c r="A65" s="79" t="s">
        <v>602</v>
      </c>
      <c r="B65" s="79" t="s">
        <v>603</v>
      </c>
      <c r="C65" s="79"/>
      <c r="D65" s="79"/>
      <c r="E65" s="79"/>
      <c r="F65" s="79"/>
      <c r="G65" s="9">
        <f t="shared" si="7"/>
        <v>0</v>
      </c>
      <c r="H65" s="80">
        <f t="shared" si="8"/>
        <v>0</v>
      </c>
      <c r="I65" s="9">
        <f>'2011'!C74+'2012'!C76+'2015'!C65</f>
        <v>2</v>
      </c>
      <c r="J65" s="9">
        <f>'2011'!G74+'2012'!G76+'2015'!G66</f>
        <v>9</v>
      </c>
      <c r="K65" s="81">
        <f t="shared" si="9"/>
        <v>0.007275666936135812</v>
      </c>
    </row>
    <row r="66" spans="1:11" ht="12.75">
      <c r="A66" s="79" t="s">
        <v>653</v>
      </c>
      <c r="B66" s="79" t="s">
        <v>654</v>
      </c>
      <c r="C66" s="79"/>
      <c r="D66" s="79"/>
      <c r="E66" s="79"/>
      <c r="F66" s="79"/>
      <c r="G66" s="9">
        <f t="shared" si="7"/>
        <v>0</v>
      </c>
      <c r="H66" s="80">
        <f t="shared" si="8"/>
        <v>0</v>
      </c>
      <c r="I66" s="9">
        <f>'2012'!C77+'2014'!C66+'2015'!C66</f>
        <v>2</v>
      </c>
      <c r="J66" s="9">
        <f>'2012'!G77+'2014'!G66+'2015'!G66</f>
        <v>15</v>
      </c>
      <c r="K66" s="81">
        <f t="shared" si="9"/>
        <v>0.012126111560226353</v>
      </c>
    </row>
    <row r="67" spans="1:11" ht="12.75">
      <c r="A67" s="79" t="s">
        <v>543</v>
      </c>
      <c r="B67" s="79" t="s">
        <v>544</v>
      </c>
      <c r="C67" s="79"/>
      <c r="D67" s="79"/>
      <c r="E67" s="79"/>
      <c r="F67" s="79"/>
      <c r="G67" s="9">
        <f t="shared" si="7"/>
        <v>0</v>
      </c>
      <c r="H67" s="80">
        <f t="shared" si="8"/>
        <v>0</v>
      </c>
      <c r="I67" s="9">
        <f>'2011'!C76</f>
        <v>1</v>
      </c>
      <c r="J67" s="9">
        <f>'2011'!G76</f>
        <v>10</v>
      </c>
      <c r="K67" s="81">
        <f t="shared" si="9"/>
        <v>0.008084074373484237</v>
      </c>
    </row>
    <row r="68" spans="1:11" ht="12.75">
      <c r="A68" s="79" t="s">
        <v>655</v>
      </c>
      <c r="B68" s="79" t="s">
        <v>656</v>
      </c>
      <c r="C68" s="79"/>
      <c r="D68" s="79"/>
      <c r="E68" s="79"/>
      <c r="F68" s="79"/>
      <c r="G68" s="9">
        <f t="shared" si="7"/>
        <v>0</v>
      </c>
      <c r="H68" s="80">
        <f t="shared" si="8"/>
        <v>0</v>
      </c>
      <c r="I68" s="9">
        <f>'2012'!C80+'2015'!C68</f>
        <v>1</v>
      </c>
      <c r="J68" s="9">
        <f>'2012'!G80+'2015'!G70</f>
        <v>11</v>
      </c>
      <c r="K68" s="81">
        <f t="shared" si="9"/>
        <v>0.00889248181083266</v>
      </c>
    </row>
    <row r="69" spans="1:11" ht="12.75">
      <c r="A69" s="79" t="s">
        <v>717</v>
      </c>
      <c r="B69" s="79"/>
      <c r="C69" s="79">
        <v>1</v>
      </c>
      <c r="D69" s="79"/>
      <c r="E69" s="79">
        <v>3</v>
      </c>
      <c r="F69" s="79">
        <v>4</v>
      </c>
      <c r="G69" s="9">
        <v>7</v>
      </c>
      <c r="H69" s="80">
        <f t="shared" si="8"/>
        <v>0.023890784982935155</v>
      </c>
      <c r="I69" s="9">
        <v>1</v>
      </c>
      <c r="J69" s="9">
        <v>7</v>
      </c>
      <c r="K69" s="81">
        <f t="shared" si="9"/>
        <v>0.005658852061438965</v>
      </c>
    </row>
    <row r="70" spans="1:11" ht="12.75">
      <c r="A70" s="79" t="s">
        <v>689</v>
      </c>
      <c r="B70" s="79" t="s">
        <v>690</v>
      </c>
      <c r="C70" s="79">
        <v>1</v>
      </c>
      <c r="D70" s="79"/>
      <c r="E70" s="79">
        <v>2</v>
      </c>
      <c r="F70" s="79">
        <v>2</v>
      </c>
      <c r="G70" s="9">
        <f aca="true" t="shared" si="10" ref="G70:G76">SUM(E70+F70)</f>
        <v>4</v>
      </c>
      <c r="H70" s="80">
        <f t="shared" si="8"/>
        <v>0.013651877133105802</v>
      </c>
      <c r="I70" s="9">
        <f>'2014'!C70+'2015'!C76</f>
        <v>2</v>
      </c>
      <c r="J70" s="9">
        <f>'2014'!G70+'2015'!G71</f>
        <v>4</v>
      </c>
      <c r="K70" s="81">
        <f t="shared" si="9"/>
        <v>0.0032336297493936943</v>
      </c>
    </row>
    <row r="71" spans="1:11" ht="12.75">
      <c r="A71" s="79" t="s">
        <v>691</v>
      </c>
      <c r="B71" s="79" t="s">
        <v>692</v>
      </c>
      <c r="C71" s="79"/>
      <c r="D71" s="79"/>
      <c r="E71" s="79"/>
      <c r="F71" s="79"/>
      <c r="G71" s="9">
        <f t="shared" si="10"/>
        <v>0</v>
      </c>
      <c r="H71" s="80">
        <f t="shared" si="8"/>
        <v>0</v>
      </c>
      <c r="I71" s="9">
        <f>'2014'!C71+'2015'!C71</f>
        <v>1</v>
      </c>
      <c r="J71" s="9">
        <f>'2014'!G71+'2015'!G72</f>
        <v>19</v>
      </c>
      <c r="K71" s="81">
        <f t="shared" si="9"/>
        <v>0.015359741309620048</v>
      </c>
    </row>
    <row r="72" spans="1:11" ht="12.75">
      <c r="A72" s="79" t="s">
        <v>693</v>
      </c>
      <c r="B72" s="79" t="s">
        <v>694</v>
      </c>
      <c r="C72" s="79">
        <v>1</v>
      </c>
      <c r="D72" s="79"/>
      <c r="E72" s="79">
        <v>4</v>
      </c>
      <c r="F72" s="79">
        <v>8</v>
      </c>
      <c r="G72" s="9">
        <f t="shared" si="10"/>
        <v>12</v>
      </c>
      <c r="H72" s="80">
        <f t="shared" si="8"/>
        <v>0.040955631399317405</v>
      </c>
      <c r="I72" s="9">
        <f>'2014'!C72+'2015'!C72</f>
        <v>2</v>
      </c>
      <c r="J72" s="9">
        <f>'2014'!G72+'2015'!G72</f>
        <v>20</v>
      </c>
      <c r="K72" s="81">
        <f t="shared" si="9"/>
        <v>0.016168148746968473</v>
      </c>
    </row>
    <row r="73" spans="1:11" ht="12.75">
      <c r="A73" s="79" t="s">
        <v>675</v>
      </c>
      <c r="B73" s="79" t="s">
        <v>676</v>
      </c>
      <c r="C73" s="79"/>
      <c r="D73" s="79"/>
      <c r="E73" s="79"/>
      <c r="F73" s="79"/>
      <c r="G73" s="9">
        <f t="shared" si="10"/>
        <v>0</v>
      </c>
      <c r="H73" s="80">
        <f t="shared" si="8"/>
        <v>0</v>
      </c>
      <c r="I73" s="9">
        <f>'2013'!C82+'2014'!C73+'2015'!C73</f>
        <v>2</v>
      </c>
      <c r="J73" s="9">
        <f>'2013'!G82+'2014'!G73+'2015'!G74</f>
        <v>15</v>
      </c>
      <c r="K73" s="81">
        <f t="shared" si="9"/>
        <v>0.012126111560226353</v>
      </c>
    </row>
    <row r="74" spans="1:11" ht="12.75">
      <c r="A74" s="79" t="s">
        <v>595</v>
      </c>
      <c r="B74" s="79" t="s">
        <v>596</v>
      </c>
      <c r="C74" s="79"/>
      <c r="D74" s="79"/>
      <c r="E74" s="79"/>
      <c r="F74" s="79"/>
      <c r="G74" s="9">
        <f t="shared" si="10"/>
        <v>0</v>
      </c>
      <c r="H74" s="80">
        <f t="shared" si="8"/>
        <v>0</v>
      </c>
      <c r="I74" s="9">
        <f>'2011'!C81+'2015'!C74</f>
        <v>1</v>
      </c>
      <c r="J74" s="9">
        <f>'2011'!G81+'2015'!G75</f>
        <v>3</v>
      </c>
      <c r="K74" s="81">
        <f t="shared" si="9"/>
        <v>0.002425222312045271</v>
      </c>
    </row>
    <row r="75" spans="1:11" ht="12.75">
      <c r="A75" s="79" t="s">
        <v>695</v>
      </c>
      <c r="B75" s="79" t="s">
        <v>696</v>
      </c>
      <c r="C75" s="79"/>
      <c r="D75" s="79"/>
      <c r="E75" s="79"/>
      <c r="F75" s="79"/>
      <c r="G75" s="9">
        <f t="shared" si="10"/>
        <v>0</v>
      </c>
      <c r="H75" s="80">
        <f t="shared" si="8"/>
        <v>0</v>
      </c>
      <c r="I75" s="9">
        <f>'2014'!C75+'2015'!C75</f>
        <v>1</v>
      </c>
      <c r="J75" s="9">
        <f>'2014'!G75+'2015'!G76</f>
        <v>10</v>
      </c>
      <c r="K75" s="81">
        <f t="shared" si="9"/>
        <v>0.008084074373484237</v>
      </c>
    </row>
    <row r="76" spans="1:11" ht="12.75">
      <c r="A76" s="79" t="s">
        <v>697</v>
      </c>
      <c r="B76" s="79" t="s">
        <v>698</v>
      </c>
      <c r="C76" s="79">
        <v>1</v>
      </c>
      <c r="D76" s="79"/>
      <c r="E76" s="79">
        <v>1</v>
      </c>
      <c r="F76" s="79">
        <v>4</v>
      </c>
      <c r="G76" s="9">
        <f t="shared" si="10"/>
        <v>5</v>
      </c>
      <c r="H76" s="80">
        <f t="shared" si="8"/>
        <v>0.017064846416382253</v>
      </c>
      <c r="I76" s="9">
        <f>'2014'!C76+'2015'!C76</f>
        <v>2</v>
      </c>
      <c r="J76" s="9">
        <f>'2014'!G76+'2015'!G78</f>
        <v>35</v>
      </c>
      <c r="K76" s="81">
        <f t="shared" si="9"/>
        <v>0.028294260307194827</v>
      </c>
    </row>
    <row r="77" spans="1:11" ht="12.75">
      <c r="A77" s="79"/>
      <c r="B77" s="79"/>
      <c r="C77" s="79"/>
      <c r="D77" s="79"/>
      <c r="E77" s="79"/>
      <c r="F77" s="79"/>
      <c r="G77" s="9"/>
      <c r="H77" s="80"/>
      <c r="I77" s="9"/>
      <c r="J77" s="9"/>
      <c r="K77" s="81"/>
    </row>
    <row r="78" spans="1:11" ht="12.75">
      <c r="A78" s="79" t="s">
        <v>718</v>
      </c>
      <c r="B78" s="79"/>
      <c r="C78" s="88">
        <f>SUM(C57:C76)</f>
        <v>4</v>
      </c>
      <c r="D78" s="79"/>
      <c r="E78" s="88">
        <f>SUM(E57:E76)</f>
        <v>10</v>
      </c>
      <c r="F78" s="88">
        <f>SUM(F57:F76)</f>
        <v>18</v>
      </c>
      <c r="G78" s="9">
        <f>SUM(G57:G76)</f>
        <v>28</v>
      </c>
      <c r="H78" s="80">
        <f>G78/$G$84</f>
        <v>0.09556313993174062</v>
      </c>
      <c r="J78" s="9">
        <f>SUM(J57:J76)</f>
        <v>264</v>
      </c>
      <c r="K78" s="81">
        <f>J78/$J$84</f>
        <v>0.21341956345998384</v>
      </c>
    </row>
    <row r="79" spans="1:11" ht="12.75">
      <c r="A79" s="79"/>
      <c r="B79" s="79"/>
      <c r="C79" s="79"/>
      <c r="D79" s="79"/>
      <c r="E79" s="88"/>
      <c r="F79" s="88"/>
      <c r="G79" s="9"/>
      <c r="H79" s="80"/>
      <c r="J79" s="9"/>
      <c r="K79" s="81"/>
    </row>
    <row r="80" spans="1:11" ht="12.75">
      <c r="A80" s="79" t="s">
        <v>531</v>
      </c>
      <c r="B80" s="79"/>
      <c r="C80" s="88">
        <f>C54+C78</f>
        <v>40</v>
      </c>
      <c r="D80" s="79"/>
      <c r="E80" s="88">
        <f>E54+E78</f>
        <v>154</v>
      </c>
      <c r="F80" s="88">
        <f>F54+F78</f>
        <v>139</v>
      </c>
      <c r="G80" s="9">
        <f>SUM(G54+G78)</f>
        <v>293</v>
      </c>
      <c r="H80" s="80">
        <f>G80/$G$84</f>
        <v>1</v>
      </c>
      <c r="J80" s="9">
        <f>J54+J78</f>
        <v>1216</v>
      </c>
      <c r="K80" s="81">
        <f>J80/$J$84</f>
        <v>0.9830234438156831</v>
      </c>
    </row>
    <row r="81" spans="1:11" ht="12.75">
      <c r="A81" s="79"/>
      <c r="B81" s="79"/>
      <c r="C81" s="79"/>
      <c r="D81" s="79"/>
      <c r="E81" s="79"/>
      <c r="F81" s="79"/>
      <c r="G81" s="9"/>
      <c r="H81" s="80"/>
      <c r="K81" s="81"/>
    </row>
    <row r="82" spans="1:11" ht="12.75">
      <c r="A82" s="79" t="s">
        <v>462</v>
      </c>
      <c r="B82" s="79"/>
      <c r="C82" s="79"/>
      <c r="D82" s="79"/>
      <c r="E82" s="79"/>
      <c r="F82" s="89">
        <v>0</v>
      </c>
      <c r="G82" s="9">
        <f>SUM(E82+F82)</f>
        <v>0</v>
      </c>
      <c r="H82" s="80">
        <f>G82/$G$84</f>
        <v>0</v>
      </c>
      <c r="J82" s="9">
        <f>'2011'!G85+'2012'!G87+'2013'!G87+'2014'!G80+G82</f>
        <v>21</v>
      </c>
      <c r="K82" s="81">
        <f>J82/$J$84</f>
        <v>0.016976556184316895</v>
      </c>
    </row>
    <row r="83" spans="1:11" ht="12.75">
      <c r="A83" s="79"/>
      <c r="B83" s="79"/>
      <c r="C83" s="79"/>
      <c r="D83" s="79"/>
      <c r="E83" s="79"/>
      <c r="F83" s="79"/>
      <c r="H83" s="80"/>
      <c r="J83" s="9"/>
      <c r="K83" s="81"/>
    </row>
    <row r="84" spans="1:11" ht="12.75">
      <c r="A84" s="79" t="s">
        <v>533</v>
      </c>
      <c r="B84" s="79"/>
      <c r="C84" s="79"/>
      <c r="D84" s="79"/>
      <c r="E84" s="79">
        <f>E80+E82</f>
        <v>154</v>
      </c>
      <c r="F84" s="79">
        <f>F80+F82</f>
        <v>139</v>
      </c>
      <c r="G84" s="9">
        <f>SUM(G80+G82)</f>
        <v>293</v>
      </c>
      <c r="H84" s="80">
        <f>G84/$G$84</f>
        <v>1</v>
      </c>
      <c r="J84" s="9">
        <f>J54+J78+J82</f>
        <v>1237</v>
      </c>
      <c r="K84" s="81">
        <f>J84/$J$84</f>
        <v>1</v>
      </c>
    </row>
    <row r="85" spans="1:6" ht="12.75">
      <c r="A85" s="79"/>
      <c r="B85" s="79"/>
      <c r="C85" s="79"/>
      <c r="D85" s="79"/>
      <c r="E85" s="79"/>
      <c r="F85" s="79"/>
    </row>
    <row r="86" spans="1:6" ht="12.75">
      <c r="A86" s="79"/>
      <c r="B86" s="79"/>
      <c r="C86" s="79"/>
      <c r="D86" s="79"/>
      <c r="E86" s="79"/>
      <c r="F86" s="79"/>
    </row>
    <row r="87" spans="1:11" ht="12.75">
      <c r="A87" s="88" t="s">
        <v>6</v>
      </c>
      <c r="B87" s="79">
        <v>27</v>
      </c>
      <c r="C87" s="88"/>
      <c r="D87" s="88"/>
      <c r="E87" s="88"/>
      <c r="F87" s="88"/>
      <c r="G87" s="88"/>
      <c r="H87" s="88"/>
      <c r="I87" s="88"/>
      <c r="J87" s="88"/>
      <c r="K87" s="88"/>
    </row>
    <row r="88" spans="1:11" ht="12.75">
      <c r="A88" s="88" t="s">
        <v>7</v>
      </c>
      <c r="B88" s="88">
        <f>C80</f>
        <v>40</v>
      </c>
      <c r="C88" s="88"/>
      <c r="D88" s="88"/>
      <c r="E88" s="88"/>
      <c r="F88" s="88"/>
      <c r="G88" s="88"/>
      <c r="H88" s="88"/>
      <c r="I88" s="88"/>
      <c r="J88" s="88"/>
      <c r="K88" s="88"/>
    </row>
    <row r="89" spans="1:11" ht="12.75">
      <c r="A89" s="88" t="s">
        <v>563</v>
      </c>
      <c r="B89" s="90">
        <f>4*(B87*B88)/(B87+B88)</f>
        <v>64.4776119402985</v>
      </c>
      <c r="C89" s="88"/>
      <c r="D89" s="88"/>
      <c r="E89" s="88"/>
      <c r="F89" s="88"/>
      <c r="G89" s="88"/>
      <c r="H89" s="88"/>
      <c r="I89" s="88"/>
      <c r="J89" s="88"/>
      <c r="K89" s="88"/>
    </row>
    <row r="90" spans="1:1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1:11" ht="12.75">
      <c r="A91" s="88" t="s">
        <v>564</v>
      </c>
      <c r="B91" s="90">
        <f>(B89/B88)*50</f>
        <v>80.59701492537312</v>
      </c>
      <c r="C91" s="88"/>
      <c r="D91" s="88"/>
      <c r="E91" s="88"/>
      <c r="F91" s="88"/>
      <c r="G91" s="88"/>
      <c r="H91" s="88"/>
      <c r="I91" s="88"/>
      <c r="J91" s="88"/>
      <c r="K91" s="88"/>
    </row>
    <row r="92" spans="1:11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1:1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1:11" ht="12.75">
      <c r="A94" s="88" t="s">
        <v>534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1:1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1:11" ht="12.75">
      <c r="A96" s="88" t="s">
        <v>6</v>
      </c>
      <c r="B96" s="88">
        <f>'2011'!B89+'2012'!B91+'2013'!B91+'2014'!B84+B87</f>
        <v>136</v>
      </c>
      <c r="C96" s="88"/>
      <c r="D96" s="88"/>
      <c r="E96" s="88"/>
      <c r="F96" s="88"/>
      <c r="G96" s="88"/>
      <c r="H96" s="88"/>
      <c r="I96" s="88"/>
      <c r="J96" s="88"/>
      <c r="K96" s="88"/>
    </row>
    <row r="97" spans="1:11" ht="12.75">
      <c r="A97" s="88" t="s">
        <v>7</v>
      </c>
      <c r="B97" s="88">
        <f>'2011'!B90+'2012'!B92+'2013'!B92+'2014'!B85+B88+B88</f>
        <v>237</v>
      </c>
      <c r="C97" s="88"/>
      <c r="D97" s="88"/>
      <c r="E97" s="88"/>
      <c r="F97" s="88"/>
      <c r="G97" s="88"/>
      <c r="H97" s="88"/>
      <c r="I97" s="88"/>
      <c r="J97" s="88"/>
      <c r="K97" s="88"/>
    </row>
    <row r="98" spans="1:11" ht="12.75">
      <c r="A98" s="88" t="s">
        <v>563</v>
      </c>
      <c r="B98" s="90">
        <f>4*(B96*B97)/(B96+B97)</f>
        <v>345.6514745308311</v>
      </c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1:11" ht="12.75">
      <c r="A100" s="88" t="s">
        <v>564</v>
      </c>
      <c r="B100" s="90">
        <f>(B98/B97)*50</f>
        <v>72.92225201072385</v>
      </c>
      <c r="C100" s="88"/>
      <c r="D100" s="88"/>
      <c r="E100" s="88"/>
      <c r="F100" s="88"/>
      <c r="G100" s="88"/>
      <c r="H100" s="88"/>
      <c r="I100" s="88"/>
      <c r="J100" s="88"/>
      <c r="K100" s="88"/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8.42187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64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65</v>
      </c>
      <c r="J2" s="5" t="s">
        <v>11</v>
      </c>
      <c r="K2" s="5" t="s">
        <v>12</v>
      </c>
      <c r="L2" s="2" t="s">
        <v>13</v>
      </c>
    </row>
    <row r="3" spans="1:11" ht="12.75">
      <c r="A3" s="6" t="s">
        <v>14</v>
      </c>
      <c r="B3" s="6" t="s">
        <v>15</v>
      </c>
      <c r="C3" s="6">
        <v>4</v>
      </c>
      <c r="D3" s="6"/>
      <c r="E3" s="6">
        <v>16</v>
      </c>
      <c r="F3" s="6">
        <v>17</v>
      </c>
      <c r="G3" s="6">
        <v>33</v>
      </c>
      <c r="H3" s="6">
        <v>16.09</v>
      </c>
      <c r="I3" s="6">
        <v>14</v>
      </c>
      <c r="J3" s="6">
        <v>109</v>
      </c>
      <c r="K3" s="7">
        <v>9.78</v>
      </c>
    </row>
    <row r="4" spans="1:11" ht="12.75">
      <c r="A4" t="s">
        <v>53</v>
      </c>
      <c r="B4" t="s">
        <v>54</v>
      </c>
      <c r="C4">
        <v>4</v>
      </c>
      <c r="E4">
        <v>20</v>
      </c>
      <c r="F4">
        <v>12</v>
      </c>
      <c r="G4">
        <v>33</v>
      </c>
      <c r="H4">
        <v>16.09</v>
      </c>
      <c r="I4">
        <v>8</v>
      </c>
      <c r="J4">
        <v>61</v>
      </c>
      <c r="K4" s="7">
        <v>5.47</v>
      </c>
    </row>
    <row r="5" spans="1:11" ht="12.75">
      <c r="A5" t="s">
        <v>29</v>
      </c>
      <c r="B5" t="s">
        <v>30</v>
      </c>
      <c r="C5">
        <v>4</v>
      </c>
      <c r="E5">
        <v>14</v>
      </c>
      <c r="F5">
        <v>13</v>
      </c>
      <c r="G5">
        <v>27</v>
      </c>
      <c r="H5">
        <v>13.17</v>
      </c>
      <c r="I5">
        <v>19</v>
      </c>
      <c r="J5">
        <v>127</v>
      </c>
      <c r="K5" s="7">
        <v>10.68</v>
      </c>
    </row>
    <row r="6" spans="1:11" ht="12.75">
      <c r="A6" t="s">
        <v>66</v>
      </c>
      <c r="B6" t="s">
        <v>67</v>
      </c>
      <c r="C6">
        <v>4</v>
      </c>
      <c r="E6">
        <v>16</v>
      </c>
      <c r="F6">
        <v>8</v>
      </c>
      <c r="G6">
        <v>24</v>
      </c>
      <c r="H6">
        <v>11.7</v>
      </c>
      <c r="I6">
        <v>4</v>
      </c>
      <c r="J6">
        <v>24</v>
      </c>
      <c r="K6">
        <v>2.15</v>
      </c>
    </row>
    <row r="7" spans="1:11" ht="12.75">
      <c r="A7" t="s">
        <v>55</v>
      </c>
      <c r="B7" t="s">
        <v>56</v>
      </c>
      <c r="C7">
        <v>3</v>
      </c>
      <c r="E7">
        <v>11</v>
      </c>
      <c r="F7">
        <v>12</v>
      </c>
      <c r="G7">
        <v>23</v>
      </c>
      <c r="H7">
        <v>11.21</v>
      </c>
      <c r="I7">
        <v>7</v>
      </c>
      <c r="J7">
        <v>35</v>
      </c>
      <c r="K7">
        <v>3.14</v>
      </c>
    </row>
    <row r="8" spans="1:11" ht="12.75">
      <c r="A8" t="s">
        <v>60</v>
      </c>
      <c r="B8" t="s">
        <v>61</v>
      </c>
      <c r="C8">
        <v>2</v>
      </c>
      <c r="E8">
        <v>8</v>
      </c>
      <c r="F8">
        <v>5</v>
      </c>
      <c r="G8">
        <v>13</v>
      </c>
      <c r="H8">
        <v>6.34</v>
      </c>
      <c r="I8">
        <v>3</v>
      </c>
      <c r="J8">
        <v>18</v>
      </c>
      <c r="K8">
        <v>1.61</v>
      </c>
    </row>
    <row r="9" spans="1:11" ht="12.75">
      <c r="A9" t="s">
        <v>26</v>
      </c>
      <c r="B9" t="s">
        <v>68</v>
      </c>
      <c r="C9">
        <v>2</v>
      </c>
      <c r="E9">
        <v>8</v>
      </c>
      <c r="F9">
        <v>6</v>
      </c>
      <c r="G9">
        <v>14</v>
      </c>
      <c r="H9">
        <v>6.82</v>
      </c>
      <c r="I9">
        <v>6</v>
      </c>
      <c r="J9">
        <v>39</v>
      </c>
      <c r="K9">
        <v>3.5</v>
      </c>
    </row>
    <row r="10" spans="1:11" ht="12.75">
      <c r="A10" t="s">
        <v>18</v>
      </c>
      <c r="B10" t="s">
        <v>69</v>
      </c>
      <c r="C10">
        <v>2</v>
      </c>
      <c r="E10">
        <v>4</v>
      </c>
      <c r="F10">
        <v>3</v>
      </c>
      <c r="G10">
        <v>7</v>
      </c>
      <c r="H10">
        <v>3.41</v>
      </c>
      <c r="I10">
        <v>14</v>
      </c>
      <c r="J10">
        <v>80</v>
      </c>
      <c r="K10" s="7">
        <v>6.55</v>
      </c>
    </row>
    <row r="11" spans="1:11" ht="12.75">
      <c r="A11" t="s">
        <v>70</v>
      </c>
      <c r="B11" t="s">
        <v>71</v>
      </c>
      <c r="C11">
        <v>1</v>
      </c>
      <c r="E11">
        <v>5</v>
      </c>
      <c r="F11">
        <v>5</v>
      </c>
      <c r="G11">
        <v>10</v>
      </c>
      <c r="H11">
        <v>4.87</v>
      </c>
      <c r="I11">
        <v>1</v>
      </c>
      <c r="J11">
        <v>10</v>
      </c>
      <c r="K11">
        <v>0.89</v>
      </c>
    </row>
    <row r="12" spans="1:11" ht="12.75">
      <c r="A12" t="s">
        <v>72</v>
      </c>
      <c r="B12" t="s">
        <v>73</v>
      </c>
      <c r="C12">
        <v>1</v>
      </c>
      <c r="E12">
        <v>4</v>
      </c>
      <c r="F12">
        <v>2</v>
      </c>
      <c r="G12">
        <v>6</v>
      </c>
      <c r="H12">
        <v>2.92</v>
      </c>
      <c r="I12">
        <v>1</v>
      </c>
      <c r="J12">
        <v>6</v>
      </c>
      <c r="K12">
        <v>0.53</v>
      </c>
    </row>
    <row r="13" spans="1:11" ht="12.75">
      <c r="A13" t="s">
        <v>74</v>
      </c>
      <c r="B13" t="s">
        <v>75</v>
      </c>
      <c r="C13">
        <v>1</v>
      </c>
      <c r="E13">
        <v>1</v>
      </c>
      <c r="F13">
        <v>4</v>
      </c>
      <c r="G13">
        <v>5</v>
      </c>
      <c r="H13">
        <v>2.43</v>
      </c>
      <c r="I13">
        <v>1</v>
      </c>
      <c r="J13">
        <v>5</v>
      </c>
      <c r="K13">
        <v>0.44</v>
      </c>
    </row>
    <row r="14" spans="1:11" ht="12.75">
      <c r="A14" t="s">
        <v>31</v>
      </c>
      <c r="B14" t="s">
        <v>32</v>
      </c>
      <c r="C14">
        <v>1</v>
      </c>
      <c r="E14">
        <v>3</v>
      </c>
      <c r="F14">
        <v>1</v>
      </c>
      <c r="G14">
        <v>4</v>
      </c>
      <c r="H14">
        <v>1.95</v>
      </c>
      <c r="I14">
        <v>3</v>
      </c>
      <c r="J14">
        <v>14</v>
      </c>
      <c r="K14">
        <v>1.25</v>
      </c>
    </row>
    <row r="15" spans="1:11" ht="12.75">
      <c r="A15" t="s">
        <v>76</v>
      </c>
      <c r="B15" t="s">
        <v>77</v>
      </c>
      <c r="C15">
        <v>1</v>
      </c>
      <c r="E15">
        <v>2</v>
      </c>
      <c r="F15">
        <v>1</v>
      </c>
      <c r="G15">
        <v>3</v>
      </c>
      <c r="H15">
        <v>1.46</v>
      </c>
      <c r="I15">
        <v>1</v>
      </c>
      <c r="J15">
        <v>3</v>
      </c>
      <c r="K15">
        <v>0.26</v>
      </c>
    </row>
    <row r="16" spans="1:11" ht="12.75">
      <c r="A16" t="s">
        <v>16</v>
      </c>
      <c r="B16" t="s">
        <v>17</v>
      </c>
      <c r="C16">
        <v>1</v>
      </c>
      <c r="E16">
        <v>3</v>
      </c>
      <c r="F16">
        <v>0</v>
      </c>
      <c r="G16">
        <v>3</v>
      </c>
      <c r="H16">
        <v>1.46</v>
      </c>
      <c r="I16">
        <v>6</v>
      </c>
      <c r="J16">
        <v>48</v>
      </c>
      <c r="K16">
        <v>4.3</v>
      </c>
    </row>
    <row r="17" spans="1:7" ht="12.75">
      <c r="A17" s="2" t="s">
        <v>8</v>
      </c>
      <c r="C17" s="2">
        <v>31</v>
      </c>
      <c r="E17" s="2">
        <v>115</v>
      </c>
      <c r="F17" s="2">
        <v>90</v>
      </c>
      <c r="G17" s="2">
        <v>205</v>
      </c>
    </row>
    <row r="18" spans="1:2" ht="12.75">
      <c r="A18" s="2" t="s">
        <v>51</v>
      </c>
      <c r="B18" s="8">
        <v>38.57</v>
      </c>
    </row>
    <row r="25" ht="12.75">
      <c r="A25" s="2"/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104"/>
  <sheetViews>
    <sheetView zoomScale="90" zoomScaleNormal="90" zoomScalePageLayoutView="0" workbookViewId="0" topLeftCell="A1">
      <pane ySplit="2" topLeftCell="A57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33.140625" style="0" customWidth="1"/>
    <col min="2" max="2" width="14.421875" style="0" customWidth="1"/>
    <col min="3" max="3" width="6.8515625" style="0" customWidth="1"/>
    <col min="4" max="4" width="0" style="0" hidden="1" customWidth="1"/>
    <col min="5" max="5" width="10.28125" style="0" customWidth="1"/>
    <col min="6" max="6" width="8.7109375" style="0" customWidth="1"/>
    <col min="7" max="7" width="6.8515625" style="0" customWidth="1"/>
    <col min="11" max="11" width="9.8515625" style="0" customWidth="1"/>
    <col min="12" max="12" width="11.28125" style="0" customWidth="1"/>
  </cols>
  <sheetData>
    <row r="1" spans="1:12" ht="12.75" customHeight="1">
      <c r="A1" s="73" t="s">
        <v>0</v>
      </c>
      <c r="B1" s="74">
        <v>2016</v>
      </c>
      <c r="C1" s="106" t="s">
        <v>4</v>
      </c>
      <c r="D1" s="107" t="s">
        <v>368</v>
      </c>
      <c r="E1" s="106" t="s">
        <v>6</v>
      </c>
      <c r="F1" s="106" t="s">
        <v>7</v>
      </c>
      <c r="G1" s="73"/>
      <c r="H1" s="75"/>
      <c r="I1" s="106" t="s">
        <v>719</v>
      </c>
      <c r="J1" s="106" t="s">
        <v>720</v>
      </c>
      <c r="K1" s="109" t="s">
        <v>322</v>
      </c>
      <c r="L1" s="108" t="s">
        <v>13</v>
      </c>
    </row>
    <row r="2" spans="1:12" ht="17.25">
      <c r="A2" s="76" t="s">
        <v>431</v>
      </c>
      <c r="B2" s="76" t="s">
        <v>3</v>
      </c>
      <c r="C2" s="106"/>
      <c r="D2" s="107"/>
      <c r="E2" s="106"/>
      <c r="F2" s="106"/>
      <c r="G2" s="73" t="s">
        <v>8</v>
      </c>
      <c r="H2" s="75" t="s">
        <v>9</v>
      </c>
      <c r="I2" s="106"/>
      <c r="J2" s="106"/>
      <c r="K2" s="109"/>
      <c r="L2" s="108"/>
    </row>
    <row r="3" spans="1:11" ht="12.75">
      <c r="A3" s="79" t="s">
        <v>657</v>
      </c>
      <c r="B3" s="79" t="s">
        <v>658</v>
      </c>
      <c r="C3" s="79"/>
      <c r="D3" s="79"/>
      <c r="E3" s="79"/>
      <c r="F3" s="79"/>
      <c r="G3" s="9">
        <f aca="true" t="shared" si="0" ref="G3:G34">SUM(E3+F3)</f>
        <v>0</v>
      </c>
      <c r="H3" s="80">
        <f aca="true" t="shared" si="1" ref="H3:H34">G3/$G$88</f>
        <v>0</v>
      </c>
      <c r="I3" s="9">
        <f>'2013'!C4</f>
        <v>1</v>
      </c>
      <c r="J3" s="9">
        <f>'2013'!G4</f>
        <v>9</v>
      </c>
      <c r="K3" s="81">
        <f aca="true" t="shared" si="2" ref="K3:K34">J3/$J$88</f>
        <v>0.00741962077493817</v>
      </c>
    </row>
    <row r="4" spans="1:11" ht="12.75">
      <c r="A4" s="79" t="s">
        <v>598</v>
      </c>
      <c r="B4" s="79" t="s">
        <v>599</v>
      </c>
      <c r="C4" s="79"/>
      <c r="D4" s="79"/>
      <c r="E4" s="79"/>
      <c r="F4" s="79"/>
      <c r="G4" s="9">
        <f t="shared" si="0"/>
        <v>0</v>
      </c>
      <c r="H4" s="80">
        <f t="shared" si="1"/>
        <v>0</v>
      </c>
      <c r="I4" s="9">
        <f>'2013'!C5+'2015'!C4+C4</f>
        <v>1</v>
      </c>
      <c r="J4" s="9">
        <f>'2013'!G5</f>
        <v>7</v>
      </c>
      <c r="K4" s="81">
        <f t="shared" si="2"/>
        <v>0.005770816158285243</v>
      </c>
    </row>
    <row r="5" spans="1:11" ht="12.75">
      <c r="A5" s="79" t="s">
        <v>677</v>
      </c>
      <c r="B5" s="79" t="s">
        <v>678</v>
      </c>
      <c r="C5" s="79">
        <v>2</v>
      </c>
      <c r="D5" s="79"/>
      <c r="E5" s="79">
        <v>5</v>
      </c>
      <c r="F5" s="79">
        <v>1</v>
      </c>
      <c r="G5" s="9">
        <f t="shared" si="0"/>
        <v>6</v>
      </c>
      <c r="H5" s="80">
        <f t="shared" si="1"/>
        <v>0.02197802197802198</v>
      </c>
      <c r="I5" s="9">
        <f>'2014'!C5+C5</f>
        <v>3</v>
      </c>
      <c r="J5" s="9">
        <f>'2014'!G5+G5</f>
        <v>11</v>
      </c>
      <c r="K5" s="81">
        <f t="shared" si="2"/>
        <v>0.009068425391591096</v>
      </c>
    </row>
    <row r="6" spans="1:11" ht="12.75">
      <c r="A6" s="79" t="s">
        <v>635</v>
      </c>
      <c r="B6" s="79" t="s">
        <v>636</v>
      </c>
      <c r="C6" s="79"/>
      <c r="D6" s="79"/>
      <c r="E6" s="79"/>
      <c r="F6" s="79"/>
      <c r="G6" s="9">
        <f t="shared" si="0"/>
        <v>0</v>
      </c>
      <c r="H6" s="80">
        <f t="shared" si="1"/>
        <v>0</v>
      </c>
      <c r="I6" s="9">
        <f>'2012'!C6+'2014'!C6+'2015'!C6</f>
        <v>3</v>
      </c>
      <c r="J6" s="9">
        <f>'2012'!G6+'2014'!G6+'2015'!G6</f>
        <v>22</v>
      </c>
      <c r="K6" s="81">
        <f t="shared" si="2"/>
        <v>0.018136850783182192</v>
      </c>
    </row>
    <row r="7" spans="1:11" ht="12.75">
      <c r="A7" s="79" t="s">
        <v>699</v>
      </c>
      <c r="B7" s="79" t="s">
        <v>700</v>
      </c>
      <c r="C7" s="79">
        <v>2</v>
      </c>
      <c r="D7" s="79"/>
      <c r="E7" s="79">
        <v>7</v>
      </c>
      <c r="F7" s="79">
        <v>9</v>
      </c>
      <c r="G7" s="9">
        <f t="shared" si="0"/>
        <v>16</v>
      </c>
      <c r="H7" s="80">
        <f t="shared" si="1"/>
        <v>0.05860805860805861</v>
      </c>
      <c r="I7" s="9">
        <f>C7</f>
        <v>2</v>
      </c>
      <c r="J7" s="9">
        <f>G7</f>
        <v>16</v>
      </c>
      <c r="K7" s="81">
        <f t="shared" si="2"/>
        <v>0.013190436933223413</v>
      </c>
    </row>
    <row r="8" spans="1:11" ht="12.75">
      <c r="A8" s="79" t="s">
        <v>679</v>
      </c>
      <c r="B8" s="79" t="s">
        <v>680</v>
      </c>
      <c r="C8" s="79"/>
      <c r="D8" s="79"/>
      <c r="E8" s="79"/>
      <c r="F8" s="79"/>
      <c r="G8" s="9">
        <f t="shared" si="0"/>
        <v>0</v>
      </c>
      <c r="H8" s="80">
        <f t="shared" si="1"/>
        <v>0</v>
      </c>
      <c r="I8" s="9">
        <f>'2014'!C8</f>
        <v>1</v>
      </c>
      <c r="J8" s="9">
        <f>'2014'!G8</f>
        <v>4</v>
      </c>
      <c r="K8" s="81">
        <f t="shared" si="2"/>
        <v>0.0032976092333058533</v>
      </c>
    </row>
    <row r="9" spans="1:11" ht="12.75">
      <c r="A9" s="79" t="s">
        <v>721</v>
      </c>
      <c r="B9" s="79" t="s">
        <v>722</v>
      </c>
      <c r="C9" s="79">
        <v>1</v>
      </c>
      <c r="D9" s="79"/>
      <c r="E9" s="79">
        <v>4</v>
      </c>
      <c r="F9" s="79">
        <v>4</v>
      </c>
      <c r="G9" s="9">
        <f t="shared" si="0"/>
        <v>8</v>
      </c>
      <c r="H9" s="80">
        <f t="shared" si="1"/>
        <v>0.029304029304029304</v>
      </c>
      <c r="I9" s="9">
        <f>C9</f>
        <v>1</v>
      </c>
      <c r="J9" s="9">
        <f>G9</f>
        <v>8</v>
      </c>
      <c r="K9" s="81">
        <f t="shared" si="2"/>
        <v>0.006595218466611707</v>
      </c>
    </row>
    <row r="10" spans="1:11" ht="12.75">
      <c r="A10" s="79" t="s">
        <v>600</v>
      </c>
      <c r="B10" s="79" t="s">
        <v>601</v>
      </c>
      <c r="C10" s="79"/>
      <c r="D10" s="79"/>
      <c r="E10" s="79"/>
      <c r="F10" s="79"/>
      <c r="G10" s="9">
        <f t="shared" si="0"/>
        <v>0</v>
      </c>
      <c r="H10" s="80">
        <f t="shared" si="1"/>
        <v>0</v>
      </c>
      <c r="I10" s="9">
        <f>'2012'!C11</f>
        <v>1</v>
      </c>
      <c r="J10" s="9">
        <f>'2012'!G11</f>
        <v>2</v>
      </c>
      <c r="K10" s="81">
        <f t="shared" si="2"/>
        <v>0.0016488046166529267</v>
      </c>
    </row>
    <row r="11" spans="1:11" ht="12.75">
      <c r="A11" s="79" t="s">
        <v>723</v>
      </c>
      <c r="B11" s="79" t="s">
        <v>724</v>
      </c>
      <c r="C11" s="79">
        <v>2</v>
      </c>
      <c r="D11" s="79"/>
      <c r="E11" s="79">
        <v>8</v>
      </c>
      <c r="F11" s="79">
        <v>10</v>
      </c>
      <c r="G11" s="9">
        <f t="shared" si="0"/>
        <v>18</v>
      </c>
      <c r="H11" s="80">
        <f t="shared" si="1"/>
        <v>0.06593406593406594</v>
      </c>
      <c r="I11" s="9">
        <f>C11</f>
        <v>2</v>
      </c>
      <c r="J11" s="9">
        <f>G11</f>
        <v>18</v>
      </c>
      <c r="K11" s="81">
        <f t="shared" si="2"/>
        <v>0.01483924154987634</v>
      </c>
    </row>
    <row r="12" spans="1:11" ht="12.75">
      <c r="A12" s="79" t="s">
        <v>725</v>
      </c>
      <c r="B12" s="79" t="s">
        <v>726</v>
      </c>
      <c r="C12" s="79">
        <v>1</v>
      </c>
      <c r="D12" s="79"/>
      <c r="E12" s="79">
        <v>4</v>
      </c>
      <c r="F12" s="79">
        <v>5</v>
      </c>
      <c r="G12" s="9">
        <f t="shared" si="0"/>
        <v>9</v>
      </c>
      <c r="H12" s="80">
        <f t="shared" si="1"/>
        <v>0.03296703296703297</v>
      </c>
      <c r="I12" s="9">
        <f>C12</f>
        <v>1</v>
      </c>
      <c r="J12" s="9">
        <f>G12</f>
        <v>9</v>
      </c>
      <c r="K12" s="81">
        <f t="shared" si="2"/>
        <v>0.00741962077493817</v>
      </c>
    </row>
    <row r="13" spans="1:11" ht="12.75">
      <c r="A13" s="79" t="s">
        <v>624</v>
      </c>
      <c r="B13" s="79" t="s">
        <v>625</v>
      </c>
      <c r="C13" s="79"/>
      <c r="D13" s="79"/>
      <c r="E13" s="79"/>
      <c r="F13" s="79"/>
      <c r="G13" s="9">
        <f t="shared" si="0"/>
        <v>0</v>
      </c>
      <c r="H13" s="80">
        <f t="shared" si="1"/>
        <v>0</v>
      </c>
      <c r="I13" s="9">
        <f>'2012'!C15+'2013'!C15+'2014'!C11+'2015'!C11</f>
        <v>7</v>
      </c>
      <c r="J13" s="9">
        <f>'2012'!G15+'2013'!G15+'2014'!G11+'2015'!G11</f>
        <v>35</v>
      </c>
      <c r="K13" s="81">
        <f t="shared" si="2"/>
        <v>0.028854080791426217</v>
      </c>
    </row>
    <row r="14" spans="1:11" ht="12.75">
      <c r="A14" s="79" t="s">
        <v>602</v>
      </c>
      <c r="B14" s="79" t="s">
        <v>603</v>
      </c>
      <c r="C14" s="79"/>
      <c r="D14" s="79"/>
      <c r="E14" s="79"/>
      <c r="F14" s="79"/>
      <c r="G14" s="9">
        <f t="shared" si="0"/>
        <v>0</v>
      </c>
      <c r="H14" s="80">
        <f t="shared" si="1"/>
        <v>0</v>
      </c>
      <c r="I14" s="9">
        <f>'2012'!C17+'2013'!C16+'2015'!C12</f>
        <v>4</v>
      </c>
      <c r="J14" s="9">
        <f>'2012'!G17+'2013'!G16+'2015'!G12</f>
        <v>23</v>
      </c>
      <c r="K14" s="81">
        <f t="shared" si="2"/>
        <v>0.018961253091508656</v>
      </c>
    </row>
    <row r="15" spans="1:11" ht="12.75">
      <c r="A15" s="79" t="s">
        <v>571</v>
      </c>
      <c r="B15" s="79" t="s">
        <v>572</v>
      </c>
      <c r="C15" s="79">
        <v>1</v>
      </c>
      <c r="D15" s="79"/>
      <c r="E15" s="79">
        <v>3</v>
      </c>
      <c r="F15" s="79">
        <v>1</v>
      </c>
      <c r="G15" s="9">
        <f t="shared" si="0"/>
        <v>4</v>
      </c>
      <c r="H15" s="80">
        <f t="shared" si="1"/>
        <v>0.014652014652014652</v>
      </c>
      <c r="I15" s="9">
        <f>'2012'!C20+'2013'!C18+C15</f>
        <v>4</v>
      </c>
      <c r="J15" s="9">
        <f>'2012'!G20+'2013'!G18+G15</f>
        <v>26</v>
      </c>
      <c r="K15" s="81">
        <f t="shared" si="2"/>
        <v>0.021434460016488046</v>
      </c>
    </row>
    <row r="16" spans="1:11" ht="12.75">
      <c r="A16" s="82" t="s">
        <v>639</v>
      </c>
      <c r="B16" s="79" t="s">
        <v>640</v>
      </c>
      <c r="C16" s="79"/>
      <c r="D16" s="79"/>
      <c r="E16" s="79"/>
      <c r="F16" s="79"/>
      <c r="G16" s="9">
        <f t="shared" si="0"/>
        <v>0</v>
      </c>
      <c r="H16" s="80">
        <f t="shared" si="1"/>
        <v>0</v>
      </c>
      <c r="I16" s="9">
        <f>'2012'!C25+'2013'!C23+'2014'!C17</f>
        <v>8</v>
      </c>
      <c r="J16" s="9">
        <f>'2012'!G25+'2013'!G23+'2014'!G17</f>
        <v>61</v>
      </c>
      <c r="K16" s="83">
        <f t="shared" si="2"/>
        <v>0.05028854080791426</v>
      </c>
    </row>
    <row r="17" spans="1:11" ht="12.75">
      <c r="A17" s="79" t="s">
        <v>641</v>
      </c>
      <c r="B17" s="79" t="s">
        <v>659</v>
      </c>
      <c r="C17" s="79"/>
      <c r="D17" s="79"/>
      <c r="E17" s="79"/>
      <c r="F17" s="79"/>
      <c r="G17" s="9">
        <f t="shared" si="0"/>
        <v>0</v>
      </c>
      <c r="H17" s="80">
        <f t="shared" si="1"/>
        <v>0</v>
      </c>
      <c r="I17" s="9">
        <f>'2012'!C26+'2014'!C18+'2015'!C15</f>
        <v>6</v>
      </c>
      <c r="J17" s="9">
        <f>'2012'!G26+'2014'!G18+'2015'!G15</f>
        <v>36</v>
      </c>
      <c r="K17" s="81">
        <f t="shared" si="2"/>
        <v>0.02967848309975268</v>
      </c>
    </row>
    <row r="18" spans="1:11" ht="12.75">
      <c r="A18" s="79" t="s">
        <v>727</v>
      </c>
      <c r="B18" s="79" t="s">
        <v>728</v>
      </c>
      <c r="C18" s="79">
        <v>1</v>
      </c>
      <c r="D18" s="79"/>
      <c r="E18" s="79">
        <v>5</v>
      </c>
      <c r="F18" s="79">
        <v>3</v>
      </c>
      <c r="G18" s="9">
        <f t="shared" si="0"/>
        <v>8</v>
      </c>
      <c r="H18" s="80">
        <f t="shared" si="1"/>
        <v>0.029304029304029304</v>
      </c>
      <c r="I18" s="9">
        <f>C18</f>
        <v>1</v>
      </c>
      <c r="J18" s="9">
        <f>G18</f>
        <v>8</v>
      </c>
      <c r="K18" s="81">
        <f t="shared" si="2"/>
        <v>0.006595218466611707</v>
      </c>
    </row>
    <row r="19" spans="1:11" ht="12.75">
      <c r="A19" s="82" t="s">
        <v>643</v>
      </c>
      <c r="B19" s="79" t="s">
        <v>644</v>
      </c>
      <c r="C19" s="79"/>
      <c r="D19" s="79"/>
      <c r="E19" s="79"/>
      <c r="F19" s="79"/>
      <c r="G19" s="9">
        <f t="shared" si="0"/>
        <v>0</v>
      </c>
      <c r="H19" s="80">
        <f t="shared" si="1"/>
        <v>0</v>
      </c>
      <c r="I19" s="9">
        <f>'2012'!C30+'2013'!C28+'2014'!C21+'2015'!C18</f>
        <v>8</v>
      </c>
      <c r="J19" s="9">
        <f>'2012'!G30+'2013'!G28+'2014'!G21+'2015'!G18</f>
        <v>56</v>
      </c>
      <c r="K19" s="83">
        <f t="shared" si="2"/>
        <v>0.046166529266281946</v>
      </c>
    </row>
    <row r="20" spans="1:11" ht="12.75">
      <c r="A20" s="79" t="s">
        <v>606</v>
      </c>
      <c r="B20" s="79" t="s">
        <v>607</v>
      </c>
      <c r="C20" s="79"/>
      <c r="D20" s="79"/>
      <c r="E20" s="79"/>
      <c r="F20" s="79"/>
      <c r="G20" s="9">
        <f t="shared" si="0"/>
        <v>0</v>
      </c>
      <c r="H20" s="80">
        <f t="shared" si="1"/>
        <v>0</v>
      </c>
      <c r="I20" s="9">
        <f>'2012'!C34+'2013'!C31+'2014'!C22</f>
        <v>4</v>
      </c>
      <c r="J20" s="9">
        <f>'2012'!G34+'2013'!G31+'2014'!G22</f>
        <v>25</v>
      </c>
      <c r="K20" s="81">
        <f t="shared" si="2"/>
        <v>0.020610057708161583</v>
      </c>
    </row>
    <row r="21" spans="1:11" ht="12.75">
      <c r="A21" s="79" t="s">
        <v>660</v>
      </c>
      <c r="B21" s="79" t="s">
        <v>661</v>
      </c>
      <c r="C21" s="79"/>
      <c r="D21" s="79"/>
      <c r="E21" s="79"/>
      <c r="F21" s="79"/>
      <c r="G21" s="9">
        <f t="shared" si="0"/>
        <v>0</v>
      </c>
      <c r="H21" s="80">
        <f t="shared" si="1"/>
        <v>0</v>
      </c>
      <c r="I21" s="9">
        <f>'2013'!C32+'2014'!C23+'2015'!C20</f>
        <v>6</v>
      </c>
      <c r="J21" s="9">
        <f>'2013'!G32+'2014'!G23+'2015'!G20</f>
        <v>44</v>
      </c>
      <c r="K21" s="81">
        <f t="shared" si="2"/>
        <v>0.036273701566364384</v>
      </c>
    </row>
    <row r="22" spans="1:11" ht="12.75">
      <c r="A22" s="79" t="s">
        <v>626</v>
      </c>
      <c r="B22" s="79" t="s">
        <v>627</v>
      </c>
      <c r="C22" s="79">
        <v>1</v>
      </c>
      <c r="D22" s="79"/>
      <c r="E22" s="79">
        <v>5</v>
      </c>
      <c r="F22" s="79">
        <v>4</v>
      </c>
      <c r="G22" s="9">
        <f t="shared" si="0"/>
        <v>9</v>
      </c>
      <c r="H22" s="80">
        <f t="shared" si="1"/>
        <v>0.03296703296703297</v>
      </c>
      <c r="I22" s="9">
        <f>'2013'!C34+'2015'!C22+C22</f>
        <v>3</v>
      </c>
      <c r="J22" s="9">
        <f>'2013'!G34+'2015'!G22+G22</f>
        <v>30</v>
      </c>
      <c r="K22" s="81">
        <f t="shared" si="2"/>
        <v>0.0247320692497939</v>
      </c>
    </row>
    <row r="23" spans="1:11" ht="12.75">
      <c r="A23" s="79" t="s">
        <v>645</v>
      </c>
      <c r="B23" s="79" t="s">
        <v>646</v>
      </c>
      <c r="C23" s="79"/>
      <c r="D23" s="79"/>
      <c r="E23" s="79"/>
      <c r="F23" s="79"/>
      <c r="G23" s="9">
        <f t="shared" si="0"/>
        <v>0</v>
      </c>
      <c r="H23" s="80">
        <f t="shared" si="1"/>
        <v>0</v>
      </c>
      <c r="I23" s="9">
        <f>'2012'!C38</f>
        <v>1</v>
      </c>
      <c r="J23" s="9">
        <f>'2012'!G38</f>
        <v>7</v>
      </c>
      <c r="K23" s="81">
        <f t="shared" si="2"/>
        <v>0.005770816158285243</v>
      </c>
    </row>
    <row r="24" spans="1:11" ht="12.75">
      <c r="A24" s="79" t="s">
        <v>662</v>
      </c>
      <c r="B24" s="79" t="s">
        <v>663</v>
      </c>
      <c r="C24" s="79"/>
      <c r="D24" s="79"/>
      <c r="E24" s="79"/>
      <c r="F24" s="79"/>
      <c r="G24" s="9">
        <f t="shared" si="0"/>
        <v>0</v>
      </c>
      <c r="H24" s="80">
        <f t="shared" si="1"/>
        <v>0</v>
      </c>
      <c r="I24" s="9">
        <f>'2013'!C36+'2014'!C27+'2015'!C24</f>
        <v>3</v>
      </c>
      <c r="J24" s="9">
        <f>'2013'!G36+'2014'!G27+'2015'!G24</f>
        <v>21</v>
      </c>
      <c r="K24" s="81">
        <f t="shared" si="2"/>
        <v>0.01731244847485573</v>
      </c>
    </row>
    <row r="25" spans="1:11" ht="12.75">
      <c r="A25" s="79" t="s">
        <v>701</v>
      </c>
      <c r="B25" s="79" t="s">
        <v>702</v>
      </c>
      <c r="C25" s="79">
        <v>1</v>
      </c>
      <c r="D25" s="79"/>
      <c r="E25" s="79">
        <v>3</v>
      </c>
      <c r="F25" s="79">
        <v>5</v>
      </c>
      <c r="G25" s="9">
        <f t="shared" si="0"/>
        <v>8</v>
      </c>
      <c r="H25" s="80">
        <f t="shared" si="1"/>
        <v>0.029304029304029304</v>
      </c>
      <c r="I25" s="9">
        <f>C25</f>
        <v>1</v>
      </c>
      <c r="J25" s="9">
        <f>G25</f>
        <v>8</v>
      </c>
      <c r="K25" s="81">
        <f t="shared" si="2"/>
        <v>0.006595218466611707</v>
      </c>
    </row>
    <row r="26" spans="1:11" ht="12.75">
      <c r="A26" s="79" t="s">
        <v>681</v>
      </c>
      <c r="B26" s="79" t="s">
        <v>682</v>
      </c>
      <c r="C26" s="79"/>
      <c r="D26" s="79"/>
      <c r="E26" s="79"/>
      <c r="F26" s="79"/>
      <c r="G26" s="9">
        <f t="shared" si="0"/>
        <v>0</v>
      </c>
      <c r="H26" s="80">
        <f t="shared" si="1"/>
        <v>0</v>
      </c>
      <c r="I26" s="9">
        <f>'2014'!C29+'2015'!C26</f>
        <v>3</v>
      </c>
      <c r="J26" s="9">
        <f>'2014'!G29+'2015'!G26</f>
        <v>25</v>
      </c>
      <c r="K26" s="81">
        <f t="shared" si="2"/>
        <v>0.020610057708161583</v>
      </c>
    </row>
    <row r="27" spans="1:11" ht="12.75">
      <c r="A27" s="79" t="s">
        <v>703</v>
      </c>
      <c r="B27" s="79" t="s">
        <v>704</v>
      </c>
      <c r="C27" s="79"/>
      <c r="D27" s="79"/>
      <c r="E27" s="79"/>
      <c r="F27" s="79"/>
      <c r="G27" s="9">
        <f t="shared" si="0"/>
        <v>0</v>
      </c>
      <c r="H27" s="80">
        <f t="shared" si="1"/>
        <v>0</v>
      </c>
      <c r="I27" s="9">
        <f>'2015'!C27</f>
        <v>1</v>
      </c>
      <c r="J27" s="9">
        <f>'2015'!G27</f>
        <v>7</v>
      </c>
      <c r="K27" s="81">
        <f t="shared" si="2"/>
        <v>0.005770816158285243</v>
      </c>
    </row>
    <row r="28" spans="1:11" ht="12.75">
      <c r="A28" s="79" t="s">
        <v>729</v>
      </c>
      <c r="B28" s="79" t="s">
        <v>706</v>
      </c>
      <c r="C28" s="79"/>
      <c r="D28" s="79"/>
      <c r="E28" s="79"/>
      <c r="F28" s="79"/>
      <c r="G28" s="9">
        <f t="shared" si="0"/>
        <v>0</v>
      </c>
      <c r="H28" s="80">
        <f t="shared" si="1"/>
        <v>0</v>
      </c>
      <c r="I28" s="9">
        <f>'2015'!I29</f>
        <v>1</v>
      </c>
      <c r="J28" s="9">
        <f>'2015'!J29</f>
        <v>6</v>
      </c>
      <c r="K28" s="81">
        <f t="shared" si="2"/>
        <v>0.00494641384995878</v>
      </c>
    </row>
    <row r="29" spans="1:11" ht="12.75">
      <c r="A29" s="79" t="s">
        <v>707</v>
      </c>
      <c r="B29" s="79" t="s">
        <v>708</v>
      </c>
      <c r="C29" s="79"/>
      <c r="D29" s="79"/>
      <c r="E29" s="79"/>
      <c r="F29" s="79"/>
      <c r="G29" s="9">
        <f t="shared" si="0"/>
        <v>0</v>
      </c>
      <c r="H29" s="80">
        <f t="shared" si="1"/>
        <v>0</v>
      </c>
      <c r="I29" s="9">
        <f>'2015'!C30</f>
        <v>1</v>
      </c>
      <c r="J29" s="9">
        <f>'2015'!G30</f>
        <v>9</v>
      </c>
      <c r="K29" s="81">
        <f t="shared" si="2"/>
        <v>0.00741962077493817</v>
      </c>
    </row>
    <row r="30" spans="1:11" ht="12.75">
      <c r="A30" s="79" t="s">
        <v>683</v>
      </c>
      <c r="B30" s="79" t="s">
        <v>684</v>
      </c>
      <c r="C30" s="79"/>
      <c r="D30" s="79"/>
      <c r="E30" s="79"/>
      <c r="F30" s="79"/>
      <c r="G30" s="9">
        <f t="shared" si="0"/>
        <v>0</v>
      </c>
      <c r="H30" s="80">
        <f t="shared" si="1"/>
        <v>0</v>
      </c>
      <c r="I30" s="9">
        <f>'2014'!C31</f>
        <v>1</v>
      </c>
      <c r="J30" s="9">
        <f>'2014'!G31</f>
        <v>9</v>
      </c>
      <c r="K30" s="81">
        <f t="shared" si="2"/>
        <v>0.00741962077493817</v>
      </c>
    </row>
    <row r="31" spans="1:11" ht="12.75">
      <c r="A31" s="79" t="s">
        <v>730</v>
      </c>
      <c r="B31" s="79" t="s">
        <v>731</v>
      </c>
      <c r="C31" s="79">
        <v>2</v>
      </c>
      <c r="D31" s="79"/>
      <c r="E31" s="79">
        <v>12</v>
      </c>
      <c r="F31" s="79">
        <v>2</v>
      </c>
      <c r="G31" s="9">
        <f t="shared" si="0"/>
        <v>14</v>
      </c>
      <c r="H31" s="80">
        <f t="shared" si="1"/>
        <v>0.05128205128205128</v>
      </c>
      <c r="I31" s="9">
        <f>C31</f>
        <v>2</v>
      </c>
      <c r="J31" s="9">
        <f>G31</f>
        <v>14</v>
      </c>
      <c r="K31" s="81">
        <f t="shared" si="2"/>
        <v>0.011541632316570486</v>
      </c>
    </row>
    <row r="32" spans="1:11" ht="12.75">
      <c r="A32" s="79" t="s">
        <v>693</v>
      </c>
      <c r="B32" s="79" t="s">
        <v>694</v>
      </c>
      <c r="C32" s="79">
        <v>1</v>
      </c>
      <c r="D32" s="79"/>
      <c r="E32" s="79">
        <v>5</v>
      </c>
      <c r="F32" s="79">
        <v>5</v>
      </c>
      <c r="G32" s="9">
        <f t="shared" si="0"/>
        <v>10</v>
      </c>
      <c r="H32" s="80">
        <f t="shared" si="1"/>
        <v>0.03663003663003663</v>
      </c>
      <c r="I32" s="9">
        <f>C32</f>
        <v>1</v>
      </c>
      <c r="J32" s="9">
        <f>G32</f>
        <v>10</v>
      </c>
      <c r="K32" s="81">
        <f t="shared" si="2"/>
        <v>0.008244023083264633</v>
      </c>
    </row>
    <row r="33" spans="1:11" ht="12.75">
      <c r="A33" s="79" t="s">
        <v>709</v>
      </c>
      <c r="B33" s="79" t="s">
        <v>710</v>
      </c>
      <c r="C33" s="79">
        <v>1</v>
      </c>
      <c r="D33" s="79"/>
      <c r="E33" s="79">
        <v>2</v>
      </c>
      <c r="F33" s="79">
        <v>7</v>
      </c>
      <c r="G33" s="9">
        <f t="shared" si="0"/>
        <v>9</v>
      </c>
      <c r="H33" s="80">
        <f t="shared" si="1"/>
        <v>0.03296703296703297</v>
      </c>
      <c r="I33" s="9">
        <f>'2015'!C32+C33</f>
        <v>2</v>
      </c>
      <c r="J33" s="9">
        <f>'2015'!G32+G33</f>
        <v>19</v>
      </c>
      <c r="K33" s="81">
        <f t="shared" si="2"/>
        <v>0.015663643858202802</v>
      </c>
    </row>
    <row r="34" spans="1:11" ht="12.75">
      <c r="A34" s="79" t="s">
        <v>647</v>
      </c>
      <c r="B34" s="79" t="s">
        <v>648</v>
      </c>
      <c r="C34" s="79"/>
      <c r="D34" s="79"/>
      <c r="E34" s="79"/>
      <c r="F34" s="79"/>
      <c r="G34" s="9">
        <f t="shared" si="0"/>
        <v>0</v>
      </c>
      <c r="H34" s="80">
        <f t="shared" si="1"/>
        <v>0</v>
      </c>
      <c r="I34" s="9">
        <f>'2012'!C45</f>
        <v>1</v>
      </c>
      <c r="J34" s="9">
        <f>'2012'!G45</f>
        <v>7</v>
      </c>
      <c r="K34" s="81">
        <f t="shared" si="2"/>
        <v>0.005770816158285243</v>
      </c>
    </row>
    <row r="35" spans="1:11" ht="12.75">
      <c r="A35" s="79" t="s">
        <v>711</v>
      </c>
      <c r="B35" s="79" t="s">
        <v>712</v>
      </c>
      <c r="C35" s="79"/>
      <c r="D35" s="79"/>
      <c r="E35" s="79"/>
      <c r="F35" s="79"/>
      <c r="G35" s="9">
        <f aca="true" t="shared" si="3" ref="G35:G66">SUM(E35+F35)</f>
        <v>0</v>
      </c>
      <c r="H35" s="80">
        <f aca="true" t="shared" si="4" ref="H35:H66">G35/$G$88</f>
        <v>0</v>
      </c>
      <c r="I35" s="9">
        <f>'2015'!C35</f>
        <v>1</v>
      </c>
      <c r="J35" s="9">
        <f>'2015'!G35</f>
        <v>8</v>
      </c>
      <c r="K35" s="81">
        <f aca="true" t="shared" si="5" ref="K35:K66">J35/$J$88</f>
        <v>0.006595218466611707</v>
      </c>
    </row>
    <row r="36" spans="1:11" ht="12.75">
      <c r="A36" s="79" t="s">
        <v>547</v>
      </c>
      <c r="B36" s="79" t="s">
        <v>548</v>
      </c>
      <c r="C36" s="79"/>
      <c r="D36" s="79"/>
      <c r="E36" s="79"/>
      <c r="F36" s="79"/>
      <c r="G36" s="9">
        <f t="shared" si="3"/>
        <v>0</v>
      </c>
      <c r="H36" s="80">
        <f t="shared" si="4"/>
        <v>0</v>
      </c>
      <c r="I36" s="9">
        <f>'2012'!C46</f>
        <v>1</v>
      </c>
      <c r="J36" s="9">
        <f>'2012'!G46</f>
        <v>5</v>
      </c>
      <c r="K36" s="81">
        <f t="shared" si="5"/>
        <v>0.004122011541632316</v>
      </c>
    </row>
    <row r="37" spans="1:11" ht="12.75">
      <c r="A37" s="86" t="s">
        <v>631</v>
      </c>
      <c r="B37" s="79" t="s">
        <v>632</v>
      </c>
      <c r="C37" s="79">
        <v>1</v>
      </c>
      <c r="D37" s="79"/>
      <c r="E37" s="79">
        <v>3</v>
      </c>
      <c r="F37" s="79">
        <v>5</v>
      </c>
      <c r="G37" s="9">
        <f t="shared" si="3"/>
        <v>8</v>
      </c>
      <c r="H37" s="80">
        <f t="shared" si="4"/>
        <v>0.029304029304029304</v>
      </c>
      <c r="I37" s="9">
        <f>'2012'!C48+'2014'!C37+'2015'!C37+C37</f>
        <v>6</v>
      </c>
      <c r="J37" s="9">
        <f>'2012'!G48+'2014'!G37+'2015'!G37+G37</f>
        <v>45</v>
      </c>
      <c r="K37" s="81">
        <f t="shared" si="5"/>
        <v>0.03709810387469085</v>
      </c>
    </row>
    <row r="38" spans="1:11" ht="12.75">
      <c r="A38" s="79" t="s">
        <v>664</v>
      </c>
      <c r="B38" s="79" t="s">
        <v>665</v>
      </c>
      <c r="C38" s="79"/>
      <c r="D38" s="79"/>
      <c r="E38" s="79"/>
      <c r="F38" s="79"/>
      <c r="G38" s="9">
        <f t="shared" si="3"/>
        <v>0</v>
      </c>
      <c r="H38" s="80">
        <f t="shared" si="4"/>
        <v>0</v>
      </c>
      <c r="I38" s="9">
        <f>'2013'!C47</f>
        <v>1</v>
      </c>
      <c r="J38" s="9">
        <f>'2013'!G47</f>
        <v>6</v>
      </c>
      <c r="K38" s="81">
        <f t="shared" si="5"/>
        <v>0.00494641384995878</v>
      </c>
    </row>
    <row r="39" spans="1:13" ht="12.75">
      <c r="A39" s="79" t="s">
        <v>732</v>
      </c>
      <c r="B39" s="79" t="s">
        <v>733</v>
      </c>
      <c r="C39" s="79">
        <v>1</v>
      </c>
      <c r="D39" s="79"/>
      <c r="E39" s="79">
        <v>4</v>
      </c>
      <c r="F39" s="79">
        <v>3</v>
      </c>
      <c r="G39" s="9">
        <f t="shared" si="3"/>
        <v>7</v>
      </c>
      <c r="H39" s="80">
        <f t="shared" si="4"/>
        <v>0.02564102564102564</v>
      </c>
      <c r="I39" s="9">
        <f>C39</f>
        <v>1</v>
      </c>
      <c r="J39" s="9">
        <f>G39</f>
        <v>7</v>
      </c>
      <c r="K39" s="81">
        <f t="shared" si="5"/>
        <v>0.005770816158285243</v>
      </c>
      <c r="M39" t="s">
        <v>180</v>
      </c>
    </row>
    <row r="40" spans="1:11" ht="12.75">
      <c r="A40" s="79" t="s">
        <v>734</v>
      </c>
      <c r="B40" s="79" t="s">
        <v>735</v>
      </c>
      <c r="C40" s="79">
        <v>1</v>
      </c>
      <c r="D40" s="79"/>
      <c r="E40" s="79">
        <v>4</v>
      </c>
      <c r="F40" s="79">
        <v>5</v>
      </c>
      <c r="G40" s="9">
        <f t="shared" si="3"/>
        <v>9</v>
      </c>
      <c r="H40" s="80">
        <f t="shared" si="4"/>
        <v>0.03296703296703297</v>
      </c>
      <c r="I40" s="9">
        <f>C40</f>
        <v>1</v>
      </c>
      <c r="J40" s="9">
        <f>G40</f>
        <v>9</v>
      </c>
      <c r="K40" s="81">
        <f t="shared" si="5"/>
        <v>0.00741962077493817</v>
      </c>
    </row>
    <row r="41" spans="1:11" ht="12.75">
      <c r="A41" s="79" t="s">
        <v>666</v>
      </c>
      <c r="B41" s="79" t="s">
        <v>667</v>
      </c>
      <c r="C41" s="79"/>
      <c r="D41" s="79"/>
      <c r="E41" s="79"/>
      <c r="F41" s="79"/>
      <c r="G41" s="9">
        <f t="shared" si="3"/>
        <v>0</v>
      </c>
      <c r="H41" s="80">
        <f t="shared" si="4"/>
        <v>0</v>
      </c>
      <c r="I41" s="9">
        <f>'2013'!C48</f>
        <v>1</v>
      </c>
      <c r="J41" s="9">
        <f>'2013'!G48</f>
        <v>5</v>
      </c>
      <c r="K41" s="81">
        <f t="shared" si="5"/>
        <v>0.004122011541632316</v>
      </c>
    </row>
    <row r="42" spans="1:11" ht="12.75">
      <c r="A42" s="79" t="s">
        <v>715</v>
      </c>
      <c r="B42" s="79" t="s">
        <v>736</v>
      </c>
      <c r="C42" s="79"/>
      <c r="D42" s="79"/>
      <c r="E42" s="79"/>
      <c r="F42" s="79"/>
      <c r="G42" s="9">
        <f t="shared" si="3"/>
        <v>0</v>
      </c>
      <c r="H42" s="80">
        <f t="shared" si="4"/>
        <v>0</v>
      </c>
      <c r="I42" s="9">
        <f>'2015'!C41</f>
        <v>1</v>
      </c>
      <c r="J42" s="9">
        <f>'2015'!G41</f>
        <v>6</v>
      </c>
      <c r="K42" s="81">
        <f t="shared" si="5"/>
        <v>0.00494641384995878</v>
      </c>
    </row>
    <row r="43" spans="1:11" ht="12.75">
      <c r="A43" s="82" t="s">
        <v>150</v>
      </c>
      <c r="B43" s="79" t="s">
        <v>668</v>
      </c>
      <c r="C43" s="79">
        <v>3</v>
      </c>
      <c r="D43" s="79"/>
      <c r="E43" s="79">
        <v>12</v>
      </c>
      <c r="F43" s="79">
        <v>14</v>
      </c>
      <c r="G43" s="9">
        <f t="shared" si="3"/>
        <v>26</v>
      </c>
      <c r="H43" s="80">
        <f t="shared" si="4"/>
        <v>0.09523809523809523</v>
      </c>
      <c r="I43" s="9">
        <f>'2013'!C49+'2014'!C40+'2015'!C42+C43</f>
        <v>8</v>
      </c>
      <c r="J43" s="9">
        <f>'2013'!G49+'2014'!G40+'2015'!G42+G43</f>
        <v>63</v>
      </c>
      <c r="K43" s="83">
        <f t="shared" si="5"/>
        <v>0.05193734542456719</v>
      </c>
    </row>
    <row r="44" spans="1:11" ht="12.75">
      <c r="A44" s="79" t="s">
        <v>582</v>
      </c>
      <c r="B44" s="79" t="s">
        <v>583</v>
      </c>
      <c r="C44" s="79"/>
      <c r="D44" s="79"/>
      <c r="E44" s="79"/>
      <c r="F44" s="79"/>
      <c r="G44" s="9">
        <f t="shared" si="3"/>
        <v>0</v>
      </c>
      <c r="H44" s="80">
        <f t="shared" si="4"/>
        <v>0</v>
      </c>
      <c r="I44" s="9">
        <f>'2013'!C50+'2015'!C43+C44</f>
        <v>2</v>
      </c>
      <c r="J44" s="9">
        <f>'2013'!G50</f>
        <v>17</v>
      </c>
      <c r="K44" s="81">
        <f t="shared" si="5"/>
        <v>0.014014839241549877</v>
      </c>
    </row>
    <row r="45" spans="1:11" ht="12.75">
      <c r="A45" s="79" t="s">
        <v>557</v>
      </c>
      <c r="B45" s="79" t="s">
        <v>558</v>
      </c>
      <c r="C45" s="79"/>
      <c r="D45" s="79"/>
      <c r="E45" s="79"/>
      <c r="F45" s="79"/>
      <c r="G45" s="9">
        <f t="shared" si="3"/>
        <v>0</v>
      </c>
      <c r="H45" s="80">
        <f t="shared" si="4"/>
        <v>0</v>
      </c>
      <c r="I45" s="9">
        <f>'2013'!C53</f>
        <v>1</v>
      </c>
      <c r="J45" s="9">
        <f>'2013'!G53</f>
        <v>5</v>
      </c>
      <c r="K45" s="81">
        <f t="shared" si="5"/>
        <v>0.004122011541632316</v>
      </c>
    </row>
    <row r="46" spans="1:11" ht="12.75">
      <c r="A46" s="79" t="s">
        <v>737</v>
      </c>
      <c r="B46" s="79" t="s">
        <v>738</v>
      </c>
      <c r="C46" s="79">
        <v>1</v>
      </c>
      <c r="D46" s="79"/>
      <c r="E46" s="79">
        <v>6</v>
      </c>
      <c r="F46" s="79">
        <v>1</v>
      </c>
      <c r="G46" s="9">
        <f t="shared" si="3"/>
        <v>7</v>
      </c>
      <c r="H46" s="80">
        <f t="shared" si="4"/>
        <v>0.02564102564102564</v>
      </c>
      <c r="I46" s="9">
        <f>C46</f>
        <v>1</v>
      </c>
      <c r="J46" s="9">
        <f>G46</f>
        <v>7</v>
      </c>
      <c r="K46" s="81">
        <f t="shared" si="5"/>
        <v>0.005770816158285243</v>
      </c>
    </row>
    <row r="47" spans="1:11" ht="12.75">
      <c r="A47" s="79" t="s">
        <v>669</v>
      </c>
      <c r="B47" s="79" t="s">
        <v>670</v>
      </c>
      <c r="C47" s="79"/>
      <c r="D47" s="79"/>
      <c r="E47" s="79"/>
      <c r="F47" s="79"/>
      <c r="G47" s="9">
        <f t="shared" si="3"/>
        <v>0</v>
      </c>
      <c r="H47" s="80">
        <f t="shared" si="4"/>
        <v>0</v>
      </c>
      <c r="I47" s="9">
        <f>'2013'!C55+'2014'!C45+'2015'!C47</f>
        <v>6</v>
      </c>
      <c r="J47" s="9">
        <f>'2013'!G55+'2014'!G45+'2015'!G47</f>
        <v>35</v>
      </c>
      <c r="K47" s="81">
        <f t="shared" si="5"/>
        <v>0.028854080791426217</v>
      </c>
    </row>
    <row r="48" spans="1:11" ht="12.75">
      <c r="A48" s="79" t="s">
        <v>633</v>
      </c>
      <c r="B48" s="79" t="s">
        <v>634</v>
      </c>
      <c r="C48" s="79"/>
      <c r="D48" s="79"/>
      <c r="E48" s="79"/>
      <c r="F48" s="79"/>
      <c r="G48" s="9">
        <f t="shared" si="3"/>
        <v>0</v>
      </c>
      <c r="H48" s="80">
        <f t="shared" si="4"/>
        <v>0</v>
      </c>
      <c r="I48" s="9">
        <f>'2012'!C59+'2013'!C58+'2014'!C46</f>
        <v>4</v>
      </c>
      <c r="J48" s="9">
        <f>'2012'!G59+'2013'!G58+'2014'!G46</f>
        <v>32</v>
      </c>
      <c r="K48" s="81">
        <f t="shared" si="5"/>
        <v>0.026380873866446827</v>
      </c>
    </row>
    <row r="49" spans="1:11" ht="12.75">
      <c r="A49" s="79" t="s">
        <v>586</v>
      </c>
      <c r="B49" s="79" t="s">
        <v>587</v>
      </c>
      <c r="C49" s="79"/>
      <c r="D49" s="79"/>
      <c r="E49" s="79"/>
      <c r="F49" s="79"/>
      <c r="G49" s="9">
        <f t="shared" si="3"/>
        <v>0</v>
      </c>
      <c r="H49" s="80">
        <f t="shared" si="4"/>
        <v>0</v>
      </c>
      <c r="I49" s="9">
        <f>'2012'!C60</f>
        <v>3</v>
      </c>
      <c r="J49" s="9">
        <f>'2012'!G60</f>
        <v>14</v>
      </c>
      <c r="K49" s="81">
        <f t="shared" si="5"/>
        <v>0.011541632316570486</v>
      </c>
    </row>
    <row r="50" spans="1:12" ht="12.75">
      <c r="A50" s="82" t="s">
        <v>588</v>
      </c>
      <c r="B50" s="79" t="s">
        <v>589</v>
      </c>
      <c r="C50" s="79">
        <v>1</v>
      </c>
      <c r="D50" s="79"/>
      <c r="E50" s="79">
        <v>3</v>
      </c>
      <c r="F50" s="79">
        <v>4</v>
      </c>
      <c r="G50" s="9">
        <f t="shared" si="3"/>
        <v>7</v>
      </c>
      <c r="H50" s="80">
        <f t="shared" si="4"/>
        <v>0.02564102564102564</v>
      </c>
      <c r="I50" s="87">
        <f>'2013'!C60+'2014'!C48+'2015'!C50+C50</f>
        <v>7</v>
      </c>
      <c r="J50" s="9">
        <f>'2013'!G60+'2014'!G48+'2015'!G50+G50</f>
        <v>60</v>
      </c>
      <c r="K50" s="83">
        <f t="shared" si="5"/>
        <v>0.0494641384995878</v>
      </c>
      <c r="L50" t="s">
        <v>739</v>
      </c>
    </row>
    <row r="51" spans="1:11" ht="12.75">
      <c r="A51" s="86" t="s">
        <v>740</v>
      </c>
      <c r="B51" s="79" t="s">
        <v>741</v>
      </c>
      <c r="C51" s="79">
        <v>1</v>
      </c>
      <c r="D51" s="79"/>
      <c r="E51" s="79">
        <v>3</v>
      </c>
      <c r="F51" s="79">
        <v>5</v>
      </c>
      <c r="G51" s="9">
        <f t="shared" si="3"/>
        <v>8</v>
      </c>
      <c r="H51" s="80">
        <f t="shared" si="4"/>
        <v>0.029304029304029304</v>
      </c>
      <c r="I51" s="87">
        <f>C51</f>
        <v>1</v>
      </c>
      <c r="J51" s="9">
        <f>G51</f>
        <v>8</v>
      </c>
      <c r="K51" s="81">
        <f t="shared" si="5"/>
        <v>0.006595218466611707</v>
      </c>
    </row>
    <row r="52" spans="1:11" ht="12.75">
      <c r="A52" s="79" t="s">
        <v>685</v>
      </c>
      <c r="B52" s="79" t="s">
        <v>686</v>
      </c>
      <c r="C52" s="79">
        <v>1</v>
      </c>
      <c r="D52" s="79"/>
      <c r="E52" s="79">
        <v>3</v>
      </c>
      <c r="F52" s="79">
        <v>2</v>
      </c>
      <c r="G52" s="9">
        <f t="shared" si="3"/>
        <v>5</v>
      </c>
      <c r="H52" s="80">
        <f t="shared" si="4"/>
        <v>0.018315018315018316</v>
      </c>
      <c r="I52" s="9">
        <f>'2014'!C49+'2015'!C51+C52</f>
        <v>5</v>
      </c>
      <c r="J52" s="9">
        <f>'2014'!G49+'2015'!G51+G52</f>
        <v>23</v>
      </c>
      <c r="K52" s="81">
        <f t="shared" si="5"/>
        <v>0.018961253091508656</v>
      </c>
    </row>
    <row r="53" spans="1:11" ht="12.75">
      <c r="A53" s="79" t="s">
        <v>742</v>
      </c>
      <c r="B53" s="79" t="s">
        <v>743</v>
      </c>
      <c r="C53" s="79">
        <v>2</v>
      </c>
      <c r="D53" s="79"/>
      <c r="E53" s="79">
        <v>12</v>
      </c>
      <c r="F53" s="79">
        <v>6</v>
      </c>
      <c r="G53" s="9">
        <f t="shared" si="3"/>
        <v>18</v>
      </c>
      <c r="H53" s="80">
        <f t="shared" si="4"/>
        <v>0.06593406593406594</v>
      </c>
      <c r="I53" s="9">
        <f>C53</f>
        <v>2</v>
      </c>
      <c r="J53" s="9">
        <f>G53</f>
        <v>18</v>
      </c>
      <c r="K53" s="81">
        <f t="shared" si="5"/>
        <v>0.01483924154987634</v>
      </c>
    </row>
    <row r="54" spans="1:11" ht="12.75">
      <c r="A54" s="79" t="s">
        <v>649</v>
      </c>
      <c r="B54" s="79" t="s">
        <v>650</v>
      </c>
      <c r="C54" s="79"/>
      <c r="D54" s="79"/>
      <c r="E54" s="79"/>
      <c r="F54" s="79"/>
      <c r="G54" s="9">
        <f t="shared" si="3"/>
        <v>0</v>
      </c>
      <c r="H54" s="80">
        <f t="shared" si="4"/>
        <v>0</v>
      </c>
      <c r="I54" s="9">
        <f>'2012'!C63</f>
        <v>1</v>
      </c>
      <c r="J54" s="9">
        <f>'2012'!G63</f>
        <v>8</v>
      </c>
      <c r="K54" s="81">
        <f t="shared" si="5"/>
        <v>0.006595218466611707</v>
      </c>
    </row>
    <row r="55" spans="1:11" ht="12.75">
      <c r="A55" s="79" t="s">
        <v>744</v>
      </c>
      <c r="B55" s="79" t="s">
        <v>745</v>
      </c>
      <c r="C55" s="79">
        <v>2</v>
      </c>
      <c r="D55" s="79"/>
      <c r="E55" s="79">
        <v>8</v>
      </c>
      <c r="F55" s="79">
        <v>12</v>
      </c>
      <c r="G55" s="9">
        <f t="shared" si="3"/>
        <v>20</v>
      </c>
      <c r="H55" s="80">
        <f t="shared" si="4"/>
        <v>0.07326007326007326</v>
      </c>
      <c r="I55" s="9">
        <f>C55</f>
        <v>2</v>
      </c>
      <c r="J55" s="9">
        <f>G55</f>
        <v>20</v>
      </c>
      <c r="K55" s="81">
        <f t="shared" si="5"/>
        <v>0.016488046166529265</v>
      </c>
    </row>
    <row r="56" spans="1:11" ht="12.75">
      <c r="A56" s="79"/>
      <c r="B56" s="79"/>
      <c r="C56" s="79"/>
      <c r="D56" s="79"/>
      <c r="E56" s="79"/>
      <c r="F56" s="79"/>
      <c r="G56" s="9"/>
      <c r="H56" s="80"/>
      <c r="I56" s="9"/>
      <c r="J56" s="9"/>
      <c r="K56" s="81">
        <f t="shared" si="5"/>
        <v>0</v>
      </c>
    </row>
    <row r="57" spans="1:11" ht="12.75">
      <c r="A57" s="79" t="s">
        <v>502</v>
      </c>
      <c r="B57" s="79"/>
      <c r="C57" s="88">
        <f>SUM(C3:C55)</f>
        <v>30</v>
      </c>
      <c r="D57" s="79"/>
      <c r="E57" s="88">
        <f>SUM(E3:E55)</f>
        <v>121</v>
      </c>
      <c r="F57" s="88">
        <f>SUM(F3:F55)</f>
        <v>113</v>
      </c>
      <c r="G57" s="9">
        <f>SUM(G3:G55)</f>
        <v>234</v>
      </c>
      <c r="H57" s="80">
        <f>G57/$G$88</f>
        <v>0.8571428571428571</v>
      </c>
      <c r="I57" s="9">
        <f>SUM(I3:I55)</f>
        <v>141</v>
      </c>
      <c r="J57" s="9">
        <f>SUM(J3:J55)</f>
        <v>993</v>
      </c>
      <c r="K57" s="81">
        <f t="shared" si="5"/>
        <v>0.8186314921681781</v>
      </c>
    </row>
    <row r="58" spans="1:11" ht="12.75">
      <c r="A58" s="79"/>
      <c r="B58" s="79"/>
      <c r="C58" s="79"/>
      <c r="D58" s="79"/>
      <c r="E58" s="79"/>
      <c r="F58" s="79"/>
      <c r="H58" s="80"/>
      <c r="K58" s="81"/>
    </row>
    <row r="59" spans="1:11" ht="12.75">
      <c r="A59" s="79"/>
      <c r="B59" s="79"/>
      <c r="C59" s="79"/>
      <c r="D59" s="79"/>
      <c r="E59" s="79"/>
      <c r="F59" s="79"/>
      <c r="H59" s="80"/>
      <c r="K59" s="81"/>
    </row>
    <row r="60" spans="1:11" ht="12.75">
      <c r="A60" s="79" t="s">
        <v>687</v>
      </c>
      <c r="B60" s="79" t="s">
        <v>688</v>
      </c>
      <c r="C60" s="79">
        <v>1</v>
      </c>
      <c r="D60" s="79"/>
      <c r="E60" s="79">
        <v>2</v>
      </c>
      <c r="F60" s="79">
        <v>2</v>
      </c>
      <c r="G60" s="9">
        <f>SUM(E60+F60)</f>
        <v>4</v>
      </c>
      <c r="H60" s="80">
        <f aca="true" t="shared" si="6" ref="H60:H80">G60/$G$88</f>
        <v>0.014652014652014652</v>
      </c>
      <c r="I60" s="9">
        <f>'2014'!C56+C60</f>
        <v>3</v>
      </c>
      <c r="J60" s="9">
        <f>'2014'!G56+G60</f>
        <v>20</v>
      </c>
      <c r="K60" s="81">
        <f aca="true" t="shared" si="7" ref="K60:K80">J60/$J$88</f>
        <v>0.016488046166529265</v>
      </c>
    </row>
    <row r="61" spans="1:11" ht="12.75">
      <c r="A61" s="79" t="s">
        <v>746</v>
      </c>
      <c r="B61" s="79" t="s">
        <v>747</v>
      </c>
      <c r="C61" s="79">
        <v>1</v>
      </c>
      <c r="D61" s="79"/>
      <c r="E61" s="79">
        <v>3</v>
      </c>
      <c r="F61" s="79">
        <v>3</v>
      </c>
      <c r="G61" s="9">
        <v>6</v>
      </c>
      <c r="H61" s="80">
        <f t="shared" si="6"/>
        <v>0.02197802197802198</v>
      </c>
      <c r="I61" s="9">
        <f>C61</f>
        <v>1</v>
      </c>
      <c r="J61" s="9">
        <f>G61</f>
        <v>6</v>
      </c>
      <c r="K61" s="81">
        <f t="shared" si="7"/>
        <v>0.00494641384995878</v>
      </c>
    </row>
    <row r="62" spans="1:11" ht="12.75">
      <c r="A62" s="79" t="s">
        <v>671</v>
      </c>
      <c r="B62" s="79" t="s">
        <v>672</v>
      </c>
      <c r="C62" s="79"/>
      <c r="D62" s="79"/>
      <c r="E62" s="79"/>
      <c r="F62" s="79"/>
      <c r="G62" s="9">
        <f>SUM(E62+F62)</f>
        <v>0</v>
      </c>
      <c r="H62" s="80">
        <f t="shared" si="6"/>
        <v>0</v>
      </c>
      <c r="I62" s="9">
        <f>'2013'!C67</f>
        <v>1</v>
      </c>
      <c r="J62" s="9">
        <f>'2013'!G67</f>
        <v>5</v>
      </c>
      <c r="K62" s="81">
        <f t="shared" si="7"/>
        <v>0.004122011541632316</v>
      </c>
    </row>
    <row r="63" spans="1:11" ht="12.75">
      <c r="A63" s="79" t="s">
        <v>103</v>
      </c>
      <c r="B63" s="79" t="s">
        <v>592</v>
      </c>
      <c r="C63" s="79"/>
      <c r="D63" s="79"/>
      <c r="E63" s="79"/>
      <c r="F63" s="79"/>
      <c r="G63" s="9">
        <f>SUM(E63+F63)</f>
        <v>0</v>
      </c>
      <c r="H63" s="80">
        <f t="shared" si="6"/>
        <v>0</v>
      </c>
      <c r="I63" s="9">
        <f>'2012'!C70</f>
        <v>1</v>
      </c>
      <c r="J63" s="9">
        <f>'2012'!G70</f>
        <v>6</v>
      </c>
      <c r="K63" s="81">
        <f t="shared" si="7"/>
        <v>0.00494641384995878</v>
      </c>
    </row>
    <row r="64" spans="1:11" ht="12.75">
      <c r="A64" s="79" t="s">
        <v>593</v>
      </c>
      <c r="B64" s="79" t="s">
        <v>594</v>
      </c>
      <c r="C64" s="79"/>
      <c r="D64" s="79"/>
      <c r="E64" s="79"/>
      <c r="F64" s="79"/>
      <c r="G64" s="9">
        <f>SUM(E64+F64)</f>
        <v>0</v>
      </c>
      <c r="H64" s="80">
        <f t="shared" si="6"/>
        <v>0</v>
      </c>
      <c r="I64" s="9">
        <f>'2013'!C70</f>
        <v>1</v>
      </c>
      <c r="J64" s="9">
        <f>'2013'!G70</f>
        <v>6</v>
      </c>
      <c r="K64" s="81">
        <f t="shared" si="7"/>
        <v>0.00494641384995878</v>
      </c>
    </row>
    <row r="65" spans="1:11" ht="12.75">
      <c r="A65" s="79" t="s">
        <v>748</v>
      </c>
      <c r="B65" s="79" t="s">
        <v>749</v>
      </c>
      <c r="C65" s="79">
        <v>1</v>
      </c>
      <c r="D65" s="79"/>
      <c r="E65" s="79">
        <v>2</v>
      </c>
      <c r="F65" s="79">
        <v>4</v>
      </c>
      <c r="G65" s="9">
        <v>6</v>
      </c>
      <c r="H65" s="80">
        <f t="shared" si="6"/>
        <v>0.02197802197802198</v>
      </c>
      <c r="I65" s="9">
        <f>C65</f>
        <v>1</v>
      </c>
      <c r="J65" s="9">
        <f>G65</f>
        <v>6</v>
      </c>
      <c r="K65" s="81">
        <f t="shared" si="7"/>
        <v>0.00494641384995878</v>
      </c>
    </row>
    <row r="66" spans="1:11" ht="12.75">
      <c r="A66" s="79" t="s">
        <v>750</v>
      </c>
      <c r="B66" s="79" t="s">
        <v>751</v>
      </c>
      <c r="C66" s="79">
        <v>1</v>
      </c>
      <c r="D66" s="79"/>
      <c r="E66" s="79">
        <v>4</v>
      </c>
      <c r="F66" s="79">
        <v>5</v>
      </c>
      <c r="G66" s="9">
        <v>9</v>
      </c>
      <c r="H66" s="80">
        <f t="shared" si="6"/>
        <v>0.03296703296703297</v>
      </c>
      <c r="I66" s="9">
        <f>C66</f>
        <v>1</v>
      </c>
      <c r="J66" s="9">
        <f>G66</f>
        <v>9</v>
      </c>
      <c r="K66" s="81">
        <f t="shared" si="7"/>
        <v>0.00741962077493817</v>
      </c>
    </row>
    <row r="67" spans="1:11" ht="12.75">
      <c r="A67" s="79" t="s">
        <v>651</v>
      </c>
      <c r="B67" s="79" t="s">
        <v>652</v>
      </c>
      <c r="C67" s="79"/>
      <c r="D67" s="79"/>
      <c r="E67" s="79"/>
      <c r="F67" s="79"/>
      <c r="G67" s="9">
        <f aca="true" t="shared" si="8" ref="G67:G74">SUM(E67+F67)</f>
        <v>0</v>
      </c>
      <c r="H67" s="80">
        <f t="shared" si="6"/>
        <v>0</v>
      </c>
      <c r="I67" s="9">
        <f>'2012'!C72+'2013'!C71+'2014'!C61</f>
        <v>3</v>
      </c>
      <c r="J67" s="9">
        <f>'2012'!G72+'2013'!G71+'2014'!G61</f>
        <v>22</v>
      </c>
      <c r="K67" s="81">
        <f t="shared" si="7"/>
        <v>0.018136850783182192</v>
      </c>
    </row>
    <row r="68" spans="1:11" ht="12.75">
      <c r="A68" s="79" t="s">
        <v>673</v>
      </c>
      <c r="B68" s="79" t="s">
        <v>674</v>
      </c>
      <c r="C68" s="79"/>
      <c r="D68" s="79"/>
      <c r="E68" s="79"/>
      <c r="F68" s="79"/>
      <c r="G68" s="9">
        <f t="shared" si="8"/>
        <v>0</v>
      </c>
      <c r="H68" s="80">
        <f t="shared" si="6"/>
        <v>0</v>
      </c>
      <c r="I68" s="9">
        <f>'2013'!C73</f>
        <v>1</v>
      </c>
      <c r="J68" s="9">
        <f>'2013'!G73</f>
        <v>6</v>
      </c>
      <c r="K68" s="81">
        <f t="shared" si="7"/>
        <v>0.00494641384995878</v>
      </c>
    </row>
    <row r="69" spans="1:11" ht="12.75">
      <c r="A69" s="79" t="s">
        <v>503</v>
      </c>
      <c r="B69" s="79" t="s">
        <v>504</v>
      </c>
      <c r="C69" s="79"/>
      <c r="D69" s="79"/>
      <c r="E69" s="79"/>
      <c r="F69" s="79"/>
      <c r="G69" s="9">
        <f t="shared" si="8"/>
        <v>0</v>
      </c>
      <c r="H69" s="80">
        <f t="shared" si="6"/>
        <v>0</v>
      </c>
      <c r="I69" s="9">
        <f>'2012'!C74</f>
        <v>1</v>
      </c>
      <c r="J69" s="9">
        <f>'2012'!G74</f>
        <v>6</v>
      </c>
      <c r="K69" s="81">
        <f t="shared" si="7"/>
        <v>0.00494641384995878</v>
      </c>
    </row>
    <row r="70" spans="1:11" ht="12.75">
      <c r="A70" s="79" t="s">
        <v>616</v>
      </c>
      <c r="B70" s="79" t="s">
        <v>617</v>
      </c>
      <c r="C70" s="79"/>
      <c r="D70" s="79"/>
      <c r="E70" s="79"/>
      <c r="F70" s="79"/>
      <c r="G70" s="9">
        <f t="shared" si="8"/>
        <v>0</v>
      </c>
      <c r="H70" s="80">
        <f t="shared" si="6"/>
        <v>0</v>
      </c>
      <c r="I70" s="9">
        <f>'2012'!C75</f>
        <v>1</v>
      </c>
      <c r="J70" s="9">
        <f>'2012'!G75</f>
        <v>2</v>
      </c>
      <c r="K70" s="81">
        <f t="shared" si="7"/>
        <v>0.0016488046166529267</v>
      </c>
    </row>
    <row r="71" spans="1:11" ht="12.75">
      <c r="A71" s="79" t="s">
        <v>602</v>
      </c>
      <c r="B71" s="79" t="s">
        <v>603</v>
      </c>
      <c r="C71" s="79"/>
      <c r="D71" s="79"/>
      <c r="E71" s="79"/>
      <c r="F71" s="79"/>
      <c r="G71" s="9">
        <f t="shared" si="8"/>
        <v>0</v>
      </c>
      <c r="H71" s="80">
        <f t="shared" si="6"/>
        <v>0</v>
      </c>
      <c r="I71" s="9">
        <f>'2012'!C76</f>
        <v>1</v>
      </c>
      <c r="J71" s="9">
        <f>'2012'!G76</f>
        <v>2</v>
      </c>
      <c r="K71" s="81">
        <f t="shared" si="7"/>
        <v>0.0016488046166529267</v>
      </c>
    </row>
    <row r="72" spans="1:11" ht="12.75">
      <c r="A72" s="79" t="s">
        <v>653</v>
      </c>
      <c r="B72" s="79" t="s">
        <v>654</v>
      </c>
      <c r="C72" s="79"/>
      <c r="D72" s="79"/>
      <c r="E72" s="79"/>
      <c r="F72" s="79"/>
      <c r="G72" s="9">
        <f t="shared" si="8"/>
        <v>0</v>
      </c>
      <c r="H72" s="80">
        <f t="shared" si="6"/>
        <v>0</v>
      </c>
      <c r="I72" s="9">
        <f>'2012'!C77+'2014'!C66</f>
        <v>2</v>
      </c>
      <c r="J72" s="9">
        <f>'2012'!G77+'2014'!G66</f>
        <v>15</v>
      </c>
      <c r="K72" s="81">
        <f t="shared" si="7"/>
        <v>0.01236603462489695</v>
      </c>
    </row>
    <row r="73" spans="1:11" ht="12.75">
      <c r="A73" s="79" t="s">
        <v>655</v>
      </c>
      <c r="B73" s="79" t="s">
        <v>656</v>
      </c>
      <c r="C73" s="79"/>
      <c r="D73" s="79"/>
      <c r="E73" s="79"/>
      <c r="F73" s="79"/>
      <c r="G73" s="9">
        <f t="shared" si="8"/>
        <v>0</v>
      </c>
      <c r="H73" s="80">
        <f t="shared" si="6"/>
        <v>0</v>
      </c>
      <c r="I73" s="9">
        <f>'2012'!C80</f>
        <v>1</v>
      </c>
      <c r="J73" s="9">
        <f>'2012'!G80</f>
        <v>7</v>
      </c>
      <c r="K73" s="81">
        <f t="shared" si="7"/>
        <v>0.005770816158285243</v>
      </c>
    </row>
    <row r="74" spans="1:11" ht="12.75">
      <c r="A74" s="79" t="s">
        <v>689</v>
      </c>
      <c r="B74" s="79" t="s">
        <v>690</v>
      </c>
      <c r="C74" s="79"/>
      <c r="D74" s="79"/>
      <c r="E74" s="79"/>
      <c r="F74" s="79"/>
      <c r="G74" s="9">
        <f t="shared" si="8"/>
        <v>0</v>
      </c>
      <c r="H74" s="80">
        <f t="shared" si="6"/>
        <v>0</v>
      </c>
      <c r="I74" s="9">
        <f>'2014'!C70+'2015'!C70</f>
        <v>2</v>
      </c>
      <c r="J74" s="9">
        <f>'2014'!G70+'2015'!G70</f>
        <v>8</v>
      </c>
      <c r="K74" s="81">
        <f t="shared" si="7"/>
        <v>0.006595218466611707</v>
      </c>
    </row>
    <row r="75" spans="1:11" ht="12.75">
      <c r="A75" s="79" t="s">
        <v>752</v>
      </c>
      <c r="B75" s="79" t="s">
        <v>753</v>
      </c>
      <c r="C75" s="79">
        <v>1</v>
      </c>
      <c r="D75" s="79"/>
      <c r="E75" s="79">
        <v>6</v>
      </c>
      <c r="F75" s="79">
        <v>3</v>
      </c>
      <c r="G75" s="9">
        <v>9</v>
      </c>
      <c r="H75" s="80">
        <f t="shared" si="6"/>
        <v>0.03296703296703297</v>
      </c>
      <c r="I75" s="9">
        <f>C75</f>
        <v>1</v>
      </c>
      <c r="J75" s="9">
        <f>G75</f>
        <v>9</v>
      </c>
      <c r="K75" s="81">
        <f t="shared" si="7"/>
        <v>0.00741962077493817</v>
      </c>
    </row>
    <row r="76" spans="1:11" ht="12.75">
      <c r="A76" s="79" t="s">
        <v>691</v>
      </c>
      <c r="B76" s="79" t="s">
        <v>692</v>
      </c>
      <c r="C76" s="79"/>
      <c r="D76" s="79"/>
      <c r="E76" s="79"/>
      <c r="F76" s="79"/>
      <c r="G76" s="9">
        <f>SUM(E76+F76)</f>
        <v>0</v>
      </c>
      <c r="H76" s="80">
        <f t="shared" si="6"/>
        <v>0</v>
      </c>
      <c r="I76" s="9">
        <f>'2014'!C71</f>
        <v>1</v>
      </c>
      <c r="J76" s="9">
        <f>'2014'!G71</f>
        <v>7</v>
      </c>
      <c r="K76" s="81">
        <f t="shared" si="7"/>
        <v>0.005770816158285243</v>
      </c>
    </row>
    <row r="77" spans="1:11" ht="12.75">
      <c r="A77" s="79" t="s">
        <v>693</v>
      </c>
      <c r="B77" s="79" t="s">
        <v>694</v>
      </c>
      <c r="C77" s="79"/>
      <c r="D77" s="79"/>
      <c r="E77" s="79"/>
      <c r="F77" s="79"/>
      <c r="G77" s="9">
        <f>SUM(E77+F77)</f>
        <v>0</v>
      </c>
      <c r="H77" s="80">
        <f t="shared" si="6"/>
        <v>0</v>
      </c>
      <c r="I77" s="9">
        <f>'2014'!C72+'2015'!C72</f>
        <v>2</v>
      </c>
      <c r="J77" s="9">
        <f>'2014'!G72+'2015'!G72</f>
        <v>20</v>
      </c>
      <c r="K77" s="81">
        <f t="shared" si="7"/>
        <v>0.016488046166529265</v>
      </c>
    </row>
    <row r="78" spans="1:11" ht="12.75">
      <c r="A78" s="79" t="s">
        <v>675</v>
      </c>
      <c r="B78" s="79" t="s">
        <v>676</v>
      </c>
      <c r="C78" s="79"/>
      <c r="D78" s="79"/>
      <c r="E78" s="79"/>
      <c r="F78" s="79"/>
      <c r="G78" s="9">
        <f>SUM(E78+F78)</f>
        <v>0</v>
      </c>
      <c r="H78" s="80">
        <f t="shared" si="6"/>
        <v>0</v>
      </c>
      <c r="I78" s="9">
        <f>'2013'!C82+'2014'!C73</f>
        <v>2</v>
      </c>
      <c r="J78" s="9">
        <f>'2013'!G82+'2014'!G73</f>
        <v>15</v>
      </c>
      <c r="K78" s="81">
        <f t="shared" si="7"/>
        <v>0.01236603462489695</v>
      </c>
    </row>
    <row r="79" spans="1:11" ht="12.75">
      <c r="A79" s="79" t="s">
        <v>695</v>
      </c>
      <c r="B79" s="79" t="s">
        <v>696</v>
      </c>
      <c r="C79" s="79"/>
      <c r="D79" s="79"/>
      <c r="E79" s="79"/>
      <c r="F79" s="79"/>
      <c r="G79" s="9">
        <f>SUM(E79+F79)</f>
        <v>0</v>
      </c>
      <c r="H79" s="80">
        <f t="shared" si="6"/>
        <v>0</v>
      </c>
      <c r="I79" s="9">
        <f>'2014'!C75</f>
        <v>1</v>
      </c>
      <c r="J79" s="9">
        <f>'2014'!G75</f>
        <v>5</v>
      </c>
      <c r="K79" s="81">
        <f t="shared" si="7"/>
        <v>0.004122011541632316</v>
      </c>
    </row>
    <row r="80" spans="1:11" ht="12.75">
      <c r="A80" s="79" t="s">
        <v>697</v>
      </c>
      <c r="B80" s="79" t="s">
        <v>698</v>
      </c>
      <c r="C80" s="79"/>
      <c r="D80" s="79"/>
      <c r="E80" s="79"/>
      <c r="F80" s="79"/>
      <c r="G80" s="9">
        <f>SUM(E80+F80)</f>
        <v>0</v>
      </c>
      <c r="H80" s="80">
        <f t="shared" si="6"/>
        <v>0</v>
      </c>
      <c r="I80" s="9">
        <f>'2014'!C76+'2015'!C76</f>
        <v>2</v>
      </c>
      <c r="J80" s="9">
        <f>'2014'!G76+'2015'!G76</f>
        <v>12</v>
      </c>
      <c r="K80" s="81">
        <f t="shared" si="7"/>
        <v>0.00989282769991756</v>
      </c>
    </row>
    <row r="81" spans="1:11" ht="12.75">
      <c r="A81" s="79"/>
      <c r="B81" s="79"/>
      <c r="C81" s="79"/>
      <c r="D81" s="79"/>
      <c r="E81" s="79"/>
      <c r="F81" s="79"/>
      <c r="G81" s="9"/>
      <c r="H81" s="80"/>
      <c r="I81" s="9"/>
      <c r="J81" s="9"/>
      <c r="K81" s="81"/>
    </row>
    <row r="82" spans="1:11" ht="12.75">
      <c r="A82" s="79" t="s">
        <v>718</v>
      </c>
      <c r="B82" s="79"/>
      <c r="C82" s="88">
        <f>SUM(C60:C80)</f>
        <v>5</v>
      </c>
      <c r="D82" s="79"/>
      <c r="E82" s="88">
        <f>SUM(E60:E80)</f>
        <v>17</v>
      </c>
      <c r="F82" s="88">
        <f>SUM(F60:F80)</f>
        <v>17</v>
      </c>
      <c r="G82" s="9">
        <f>SUM(G60:G80)</f>
        <v>34</v>
      </c>
      <c r="H82" s="80">
        <f>G82/$G$88</f>
        <v>0.12454212454212454</v>
      </c>
      <c r="I82" s="9">
        <f>SUM(I60:I80)</f>
        <v>30</v>
      </c>
      <c r="J82" s="9">
        <f>SUM(J60:J80)</f>
        <v>194</v>
      </c>
      <c r="K82" s="81">
        <f>J82/$J$88</f>
        <v>0.15993404781533388</v>
      </c>
    </row>
    <row r="83" spans="1:11" ht="12.75">
      <c r="A83" s="79"/>
      <c r="B83" s="79"/>
      <c r="C83" s="79"/>
      <c r="D83" s="79"/>
      <c r="E83" s="88"/>
      <c r="F83" s="88"/>
      <c r="G83" s="9"/>
      <c r="H83" s="80"/>
      <c r="J83" s="9"/>
      <c r="K83" s="81"/>
    </row>
    <row r="84" spans="1:11" ht="12.75">
      <c r="A84" s="79" t="s">
        <v>531</v>
      </c>
      <c r="B84" s="79"/>
      <c r="C84" s="88"/>
      <c r="D84" s="79"/>
      <c r="E84" s="88">
        <f>E57+E82</f>
        <v>138</v>
      </c>
      <c r="F84" s="88">
        <f>F57+F82</f>
        <v>130</v>
      </c>
      <c r="G84" s="9">
        <f>SUM(G57+G82)</f>
        <v>268</v>
      </c>
      <c r="H84" s="80">
        <f>G84/$G$88</f>
        <v>0.9816849816849816</v>
      </c>
      <c r="I84" s="9">
        <f>I57+I82</f>
        <v>171</v>
      </c>
      <c r="J84" s="9">
        <f>J57+J82</f>
        <v>1187</v>
      </c>
      <c r="K84" s="81">
        <f>J84/$J$88</f>
        <v>0.9785655399835119</v>
      </c>
    </row>
    <row r="85" spans="1:11" ht="12.75">
      <c r="A85" s="79"/>
      <c r="B85" s="79"/>
      <c r="C85" s="79"/>
      <c r="D85" s="79"/>
      <c r="E85" s="79"/>
      <c r="F85" s="79"/>
      <c r="G85" s="9"/>
      <c r="H85" s="80"/>
      <c r="K85" s="81"/>
    </row>
    <row r="86" spans="1:11" ht="12.75">
      <c r="A86" s="79" t="s">
        <v>462</v>
      </c>
      <c r="B86" s="79"/>
      <c r="C86" s="79">
        <v>5</v>
      </c>
      <c r="D86" s="79"/>
      <c r="E86" s="79">
        <v>4</v>
      </c>
      <c r="F86" s="89">
        <v>1</v>
      </c>
      <c r="G86" s="9">
        <f>SUM(E86+F86)</f>
        <v>5</v>
      </c>
      <c r="H86" s="80">
        <f>G86/$G$88</f>
        <v>0.018315018315018316</v>
      </c>
      <c r="J86" s="9">
        <f>'2011'!G85+'2012'!G87+'2013'!G87+'2014'!G80+G86</f>
        <v>26</v>
      </c>
      <c r="K86" s="81">
        <f>J86/$J$88</f>
        <v>0.021434460016488046</v>
      </c>
    </row>
    <row r="87" spans="1:11" ht="12.75">
      <c r="A87" s="79"/>
      <c r="B87" s="79"/>
      <c r="C87" s="79"/>
      <c r="D87" s="79"/>
      <c r="E87" s="79"/>
      <c r="F87" s="79"/>
      <c r="H87" s="80"/>
      <c r="J87" s="9"/>
      <c r="K87" s="81"/>
    </row>
    <row r="88" spans="1:11" ht="12.75">
      <c r="A88" s="79" t="s">
        <v>533</v>
      </c>
      <c r="B88" s="79"/>
      <c r="C88" s="91">
        <f>C57+C82+C86</f>
        <v>40</v>
      </c>
      <c r="D88" s="79"/>
      <c r="E88" s="79">
        <f>E84+E86</f>
        <v>142</v>
      </c>
      <c r="F88" s="79">
        <f>F84+F86</f>
        <v>131</v>
      </c>
      <c r="G88" s="9">
        <f>SUM(G84+G86)</f>
        <v>273</v>
      </c>
      <c r="H88" s="80">
        <f>G88/$G$88</f>
        <v>1</v>
      </c>
      <c r="J88" s="9">
        <f>J57+J82+J86</f>
        <v>1213</v>
      </c>
      <c r="K88" s="81">
        <f>J88/$J$88</f>
        <v>1</v>
      </c>
    </row>
    <row r="89" spans="1:6" ht="12.75">
      <c r="A89" s="79"/>
      <c r="B89" s="79"/>
      <c r="C89" s="79"/>
      <c r="D89" s="79"/>
      <c r="E89" s="79"/>
      <c r="F89" s="79"/>
    </row>
    <row r="90" spans="1:6" ht="12.75">
      <c r="A90" s="79"/>
      <c r="B90" s="79"/>
      <c r="C90" s="79"/>
      <c r="D90" s="79"/>
      <c r="E90" s="79"/>
      <c r="F90" s="79"/>
    </row>
    <row r="91" spans="1:11" ht="12.75">
      <c r="A91" s="88" t="s">
        <v>6</v>
      </c>
      <c r="B91" s="79">
        <v>31</v>
      </c>
      <c r="C91" s="88"/>
      <c r="D91" s="88"/>
      <c r="E91" s="88"/>
      <c r="F91" s="88"/>
      <c r="G91" s="88"/>
      <c r="H91" s="88"/>
      <c r="I91" s="88"/>
      <c r="J91" s="88"/>
      <c r="K91" s="88"/>
    </row>
    <row r="92" spans="1:11" ht="12.75">
      <c r="A92" s="88" t="s">
        <v>7</v>
      </c>
      <c r="B92" s="88">
        <v>39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1:11" ht="12.75">
      <c r="A93" s="88" t="s">
        <v>563</v>
      </c>
      <c r="B93" s="90">
        <f>4*(B91*B92)/(B91+B92)</f>
        <v>69.08571428571429</v>
      </c>
      <c r="C93" s="88"/>
      <c r="D93" s="88"/>
      <c r="E93" s="88"/>
      <c r="F93" s="88"/>
      <c r="G93" s="88"/>
      <c r="H93" s="88"/>
      <c r="I93" s="88"/>
      <c r="J93" s="88"/>
      <c r="K93" s="88"/>
    </row>
    <row r="94" spans="1:16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P94" s="92"/>
    </row>
    <row r="95" spans="1:11" ht="12.75">
      <c r="A95" s="88" t="s">
        <v>564</v>
      </c>
      <c r="B95" s="90">
        <f>(B93/B92)*50</f>
        <v>88.57142857142858</v>
      </c>
      <c r="C95" s="88"/>
      <c r="D95" s="88"/>
      <c r="E95" s="88"/>
      <c r="F95" s="88"/>
      <c r="G95" s="88"/>
      <c r="H95" s="88"/>
      <c r="I95" s="88"/>
      <c r="J95" s="88"/>
      <c r="K95" s="88"/>
    </row>
    <row r="96" spans="1:11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1:1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1:11" ht="12.75">
      <c r="A98" s="88" t="s">
        <v>534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1:11" ht="12.75">
      <c r="A100" s="88" t="s">
        <v>6</v>
      </c>
      <c r="B100" s="88">
        <f>'2012'!B91+'2013'!B91+'2014'!B84+'2015'!B87+B91</f>
        <v>142</v>
      </c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11" ht="12.75">
      <c r="A101" s="88" t="s">
        <v>7</v>
      </c>
      <c r="B101" s="88">
        <f>'2012'!B92+'2013'!B92+'2014'!B85+B92+'2015'!B88+B92</f>
        <v>236</v>
      </c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12.75">
      <c r="A102" s="88" t="s">
        <v>563</v>
      </c>
      <c r="B102" s="90">
        <f>4*(B100*B101)/(B100+B101)</f>
        <v>354.62433862433863</v>
      </c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1:11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1:11" ht="12.75">
      <c r="A104" s="88" t="s">
        <v>564</v>
      </c>
      <c r="B104" s="90">
        <f>(B102/B101)*50</f>
        <v>75.13227513227514</v>
      </c>
      <c r="C104" s="88"/>
      <c r="D104" s="88"/>
      <c r="E104" s="88"/>
      <c r="F104" s="88"/>
      <c r="G104" s="88"/>
      <c r="H104" s="88"/>
      <c r="I104" s="88"/>
      <c r="J104" s="88"/>
      <c r="K104" s="88"/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zoomScalePageLayoutView="0" workbookViewId="0" topLeftCell="A1">
      <pane ySplit="2" topLeftCell="A30" activePane="bottomLeft" state="frozen"/>
      <selection pane="topLeft" activeCell="A1" sqref="A1"/>
      <selection pane="bottomLeft" activeCell="O37" sqref="O37"/>
    </sheetView>
  </sheetViews>
  <sheetFormatPr defaultColWidth="11.57421875" defaultRowHeight="12.75"/>
  <cols>
    <col min="1" max="1" width="31.28125" style="0" customWidth="1"/>
    <col min="2" max="2" width="20.140625" style="0" customWidth="1"/>
    <col min="3" max="3" width="7.57421875" style="0" customWidth="1"/>
    <col min="4" max="4" width="0" style="0" hidden="1" customWidth="1"/>
    <col min="5" max="5" width="9.8515625" style="0" customWidth="1"/>
    <col min="6" max="6" width="9.140625" style="0" customWidth="1"/>
    <col min="7" max="7" width="7.7109375" style="0" customWidth="1"/>
    <col min="8" max="8" width="10.8515625" style="0" customWidth="1"/>
    <col min="9" max="9" width="7.140625" style="0" customWidth="1"/>
    <col min="10" max="10" width="9.7109375" style="0" customWidth="1"/>
  </cols>
  <sheetData>
    <row r="1" spans="1:12" ht="12.75" customHeight="1">
      <c r="A1" s="73" t="s">
        <v>0</v>
      </c>
      <c r="B1" s="74">
        <v>2017</v>
      </c>
      <c r="C1" s="106" t="s">
        <v>4</v>
      </c>
      <c r="D1" s="107" t="s">
        <v>368</v>
      </c>
      <c r="E1" s="106" t="s">
        <v>6</v>
      </c>
      <c r="F1" s="106" t="s">
        <v>7</v>
      </c>
      <c r="G1" s="73"/>
      <c r="H1" s="75"/>
      <c r="I1" s="106" t="s">
        <v>719</v>
      </c>
      <c r="J1" s="106" t="s">
        <v>720</v>
      </c>
      <c r="K1" s="109" t="s">
        <v>322</v>
      </c>
      <c r="L1" s="108" t="s">
        <v>13</v>
      </c>
    </row>
    <row r="2" spans="1:12" ht="17.25">
      <c r="A2" s="76" t="s">
        <v>431</v>
      </c>
      <c r="B2" s="76" t="s">
        <v>3</v>
      </c>
      <c r="C2" s="106"/>
      <c r="D2" s="107"/>
      <c r="E2" s="106"/>
      <c r="F2" s="106"/>
      <c r="G2" s="73" t="s">
        <v>8</v>
      </c>
      <c r="H2" s="75" t="s">
        <v>9</v>
      </c>
      <c r="I2" s="106"/>
      <c r="J2" s="106"/>
      <c r="K2" s="109"/>
      <c r="L2" s="108"/>
    </row>
    <row r="3" spans="1:11" ht="12.75">
      <c r="A3" s="79" t="s">
        <v>657</v>
      </c>
      <c r="B3" s="79" t="s">
        <v>658</v>
      </c>
      <c r="C3" s="79"/>
      <c r="D3" s="79"/>
      <c r="E3" s="79"/>
      <c r="F3" s="79"/>
      <c r="G3" s="9">
        <f aca="true" t="shared" si="0" ref="G3:G28">SUM(E3+F3)</f>
        <v>0</v>
      </c>
      <c r="H3" s="80">
        <f aca="true" t="shared" si="1" ref="H3:H34">G3/$G$82</f>
        <v>0</v>
      </c>
      <c r="I3" s="93">
        <f>'2013'!C4</f>
        <v>1</v>
      </c>
      <c r="J3" s="93">
        <f>'2013'!G4+G3</f>
        <v>9</v>
      </c>
      <c r="K3" s="81" t="e">
        <f aca="true" t="shared" si="2" ref="K3:K34">J3/$J$82</f>
        <v>#REF!</v>
      </c>
    </row>
    <row r="4" spans="1:11" ht="12.75">
      <c r="A4" s="79" t="s">
        <v>671</v>
      </c>
      <c r="B4" s="79" t="s">
        <v>672</v>
      </c>
      <c r="C4" s="79">
        <v>1</v>
      </c>
      <c r="D4" s="79"/>
      <c r="E4" s="79">
        <v>1</v>
      </c>
      <c r="F4" s="79">
        <v>2</v>
      </c>
      <c r="G4" s="9">
        <f t="shared" si="0"/>
        <v>3</v>
      </c>
      <c r="H4" s="80">
        <f t="shared" si="1"/>
        <v>0.011152416356877323</v>
      </c>
      <c r="I4" s="93">
        <f>C4</f>
        <v>1</v>
      </c>
      <c r="J4" s="93">
        <f>G4</f>
        <v>3</v>
      </c>
      <c r="K4" s="81" t="e">
        <f t="shared" si="2"/>
        <v>#REF!</v>
      </c>
    </row>
    <row r="5" spans="1:11" ht="12.75">
      <c r="A5" s="79" t="s">
        <v>598</v>
      </c>
      <c r="B5" s="79" t="s">
        <v>599</v>
      </c>
      <c r="C5" s="79"/>
      <c r="D5" s="79"/>
      <c r="E5" s="79"/>
      <c r="F5" s="79"/>
      <c r="G5" s="9">
        <f t="shared" si="0"/>
        <v>0</v>
      </c>
      <c r="H5" s="80">
        <f t="shared" si="1"/>
        <v>0</v>
      </c>
      <c r="I5" s="93">
        <f>'2013'!C5+C5</f>
        <v>1</v>
      </c>
      <c r="J5" s="93">
        <f>'2013'!G5+G5</f>
        <v>7</v>
      </c>
      <c r="K5" s="81" t="e">
        <f t="shared" si="2"/>
        <v>#REF!</v>
      </c>
    </row>
    <row r="6" spans="1:11" ht="12.75">
      <c r="A6" s="79" t="s">
        <v>677</v>
      </c>
      <c r="B6" s="79" t="s">
        <v>678</v>
      </c>
      <c r="C6" s="79"/>
      <c r="D6" s="79"/>
      <c r="E6" s="79"/>
      <c r="F6" s="79"/>
      <c r="G6" s="9">
        <f t="shared" si="0"/>
        <v>0</v>
      </c>
      <c r="H6" s="80">
        <f t="shared" si="1"/>
        <v>0</v>
      </c>
      <c r="I6" s="93">
        <f>'2014'!C5+'2016'!C5+C6</f>
        <v>3</v>
      </c>
      <c r="J6" s="93">
        <f>'2014'!J5+'2016'!G5+G6</f>
        <v>11</v>
      </c>
      <c r="K6" s="81" t="e">
        <f t="shared" si="2"/>
        <v>#REF!</v>
      </c>
    </row>
    <row r="7" spans="1:11" ht="12.75">
      <c r="A7" s="79" t="s">
        <v>635</v>
      </c>
      <c r="B7" s="79" t="s">
        <v>636</v>
      </c>
      <c r="C7" s="79"/>
      <c r="D7" s="79"/>
      <c r="E7" s="79"/>
      <c r="F7" s="79"/>
      <c r="G7" s="9">
        <f t="shared" si="0"/>
        <v>0</v>
      </c>
      <c r="H7" s="80">
        <f t="shared" si="1"/>
        <v>0</v>
      </c>
      <c r="I7" s="93">
        <f>'2014'!C6+'2015'!C6+C7</f>
        <v>2</v>
      </c>
      <c r="J7" s="93">
        <f>'2014'!G6+'2015'!G6+G7</f>
        <v>15</v>
      </c>
      <c r="K7" s="81" t="e">
        <f t="shared" si="2"/>
        <v>#REF!</v>
      </c>
    </row>
    <row r="8" spans="1:11" ht="12.75">
      <c r="A8" s="79" t="s">
        <v>699</v>
      </c>
      <c r="B8" s="79" t="s">
        <v>700</v>
      </c>
      <c r="C8" s="79"/>
      <c r="D8" s="79"/>
      <c r="E8" s="79"/>
      <c r="F8" s="79"/>
      <c r="G8" s="9">
        <f t="shared" si="0"/>
        <v>0</v>
      </c>
      <c r="H8" s="80">
        <f t="shared" si="1"/>
        <v>0</v>
      </c>
      <c r="I8" s="93" t="e">
        <f>'2016'!C7+C8+'2016'!#REF!</f>
        <v>#REF!</v>
      </c>
      <c r="J8" s="93" t="e">
        <f>'2016'!G7+G8+'2016'!#REF!</f>
        <v>#REF!</v>
      </c>
      <c r="K8" s="81" t="e">
        <f t="shared" si="2"/>
        <v>#REF!</v>
      </c>
    </row>
    <row r="9" spans="1:11" ht="12.75">
      <c r="A9" s="79" t="s">
        <v>679</v>
      </c>
      <c r="B9" s="79" t="s">
        <v>680</v>
      </c>
      <c r="C9" s="79"/>
      <c r="D9" s="79"/>
      <c r="E9" s="79"/>
      <c r="F9" s="79"/>
      <c r="G9" s="9">
        <f t="shared" si="0"/>
        <v>0</v>
      </c>
      <c r="H9" s="80">
        <f t="shared" si="1"/>
        <v>0</v>
      </c>
      <c r="I9" s="93">
        <f>'2014'!C8</f>
        <v>1</v>
      </c>
      <c r="J9" s="93">
        <f>'2014'!G8</f>
        <v>4</v>
      </c>
      <c r="K9" s="81" t="e">
        <f t="shared" si="2"/>
        <v>#REF!</v>
      </c>
    </row>
    <row r="10" spans="1:11" ht="12.75">
      <c r="A10" s="79" t="s">
        <v>721</v>
      </c>
      <c r="B10" s="79" t="s">
        <v>722</v>
      </c>
      <c r="C10" s="79"/>
      <c r="D10" s="79"/>
      <c r="E10" s="79"/>
      <c r="F10" s="79"/>
      <c r="G10" s="9">
        <f t="shared" si="0"/>
        <v>0</v>
      </c>
      <c r="H10" s="80">
        <f t="shared" si="1"/>
        <v>0</v>
      </c>
      <c r="I10" s="93">
        <f>'2016'!C9+C10</f>
        <v>1</v>
      </c>
      <c r="J10" s="93">
        <f>'2016'!G9+G10</f>
        <v>8</v>
      </c>
      <c r="K10" s="81" t="e">
        <f t="shared" si="2"/>
        <v>#REF!</v>
      </c>
    </row>
    <row r="11" spans="1:11" ht="12.75">
      <c r="A11" s="79" t="s">
        <v>723</v>
      </c>
      <c r="B11" s="79" t="s">
        <v>724</v>
      </c>
      <c r="C11" s="79"/>
      <c r="D11" s="79"/>
      <c r="E11" s="79"/>
      <c r="F11" s="79"/>
      <c r="G11" s="9">
        <f t="shared" si="0"/>
        <v>0</v>
      </c>
      <c r="H11" s="80">
        <f t="shared" si="1"/>
        <v>0</v>
      </c>
      <c r="I11" s="93">
        <f>'2016'!C11+C11</f>
        <v>2</v>
      </c>
      <c r="J11" s="93">
        <f>'2016'!G11+G11</f>
        <v>18</v>
      </c>
      <c r="K11" s="81" t="e">
        <f t="shared" si="2"/>
        <v>#REF!</v>
      </c>
    </row>
    <row r="12" spans="1:11" ht="12.75">
      <c r="A12" s="79" t="s">
        <v>754</v>
      </c>
      <c r="B12" s="79" t="s">
        <v>755</v>
      </c>
      <c r="C12" s="79">
        <v>2</v>
      </c>
      <c r="D12" s="79"/>
      <c r="E12" s="79">
        <v>13</v>
      </c>
      <c r="F12" s="79">
        <v>8</v>
      </c>
      <c r="G12" s="9">
        <f t="shared" si="0"/>
        <v>21</v>
      </c>
      <c r="H12" s="80">
        <f t="shared" si="1"/>
        <v>0.07806691449814127</v>
      </c>
      <c r="I12" s="93">
        <f>C12</f>
        <v>2</v>
      </c>
      <c r="J12" s="93">
        <f>G12</f>
        <v>21</v>
      </c>
      <c r="K12" s="81" t="e">
        <f t="shared" si="2"/>
        <v>#REF!</v>
      </c>
    </row>
    <row r="13" spans="1:11" ht="12.75">
      <c r="A13" s="79" t="s">
        <v>725</v>
      </c>
      <c r="B13" s="79" t="s">
        <v>726</v>
      </c>
      <c r="C13" s="79">
        <v>1</v>
      </c>
      <c r="D13" s="79"/>
      <c r="E13" s="79">
        <v>2</v>
      </c>
      <c r="F13" s="79">
        <v>4</v>
      </c>
      <c r="G13" s="9">
        <f t="shared" si="0"/>
        <v>6</v>
      </c>
      <c r="H13" s="80">
        <f t="shared" si="1"/>
        <v>0.022304832713754646</v>
      </c>
      <c r="I13" s="93">
        <f>'2016'!C12+C13</f>
        <v>2</v>
      </c>
      <c r="J13" s="93">
        <f>'2016'!G12+G13</f>
        <v>15</v>
      </c>
      <c r="K13" s="81" t="e">
        <f t="shared" si="2"/>
        <v>#REF!</v>
      </c>
    </row>
    <row r="14" spans="1:11" ht="12.75">
      <c r="A14" s="79" t="s">
        <v>624</v>
      </c>
      <c r="B14" s="79" t="s">
        <v>625</v>
      </c>
      <c r="C14" s="79"/>
      <c r="D14" s="79"/>
      <c r="E14" s="79"/>
      <c r="F14" s="79"/>
      <c r="G14" s="9">
        <f t="shared" si="0"/>
        <v>0</v>
      </c>
      <c r="H14" s="80">
        <f t="shared" si="1"/>
        <v>0</v>
      </c>
      <c r="I14" s="93">
        <f>'2013'!C15+'2014'!C11+'2015'!C11+C14</f>
        <v>4</v>
      </c>
      <c r="J14" s="93">
        <f>'2013'!G15+'2014'!G11+'2015'!G11+G14</f>
        <v>21</v>
      </c>
      <c r="K14" s="81" t="e">
        <f t="shared" si="2"/>
        <v>#REF!</v>
      </c>
    </row>
    <row r="15" spans="1:11" ht="12.75">
      <c r="A15" s="79" t="s">
        <v>602</v>
      </c>
      <c r="B15" s="79" t="s">
        <v>603</v>
      </c>
      <c r="C15" s="79"/>
      <c r="D15" s="79"/>
      <c r="E15" s="79"/>
      <c r="F15" s="79"/>
      <c r="G15" s="9">
        <f t="shared" si="0"/>
        <v>0</v>
      </c>
      <c r="H15" s="80">
        <f t="shared" si="1"/>
        <v>0</v>
      </c>
      <c r="I15" s="93">
        <f>'2013'!C16+'2015'!C12</f>
        <v>3</v>
      </c>
      <c r="J15" s="93">
        <f>'2013'!G16+'2015'!G12</f>
        <v>22</v>
      </c>
      <c r="K15" s="81" t="e">
        <f t="shared" si="2"/>
        <v>#REF!</v>
      </c>
    </row>
    <row r="16" spans="1:11" ht="12.75">
      <c r="A16" s="79" t="s">
        <v>571</v>
      </c>
      <c r="B16" s="79" t="s">
        <v>572</v>
      </c>
      <c r="C16" s="79"/>
      <c r="D16" s="79"/>
      <c r="E16" s="79"/>
      <c r="F16" s="79"/>
      <c r="G16" s="9">
        <f t="shared" si="0"/>
        <v>0</v>
      </c>
      <c r="H16" s="80">
        <f t="shared" si="1"/>
        <v>0</v>
      </c>
      <c r="I16" s="93">
        <f>'2013'!C18+'2016'!C12</f>
        <v>3</v>
      </c>
      <c r="J16" s="93">
        <f>'2013'!G18+'2016'!G15</f>
        <v>17</v>
      </c>
      <c r="K16" s="81" t="e">
        <f t="shared" si="2"/>
        <v>#REF!</v>
      </c>
    </row>
    <row r="17" spans="1:11" ht="12.75">
      <c r="A17" s="86" t="s">
        <v>639</v>
      </c>
      <c r="B17" s="79" t="s">
        <v>640</v>
      </c>
      <c r="C17" s="79"/>
      <c r="D17" s="79"/>
      <c r="E17" s="79"/>
      <c r="F17" s="79"/>
      <c r="G17" s="9">
        <f t="shared" si="0"/>
        <v>0</v>
      </c>
      <c r="H17" s="80">
        <f t="shared" si="1"/>
        <v>0</v>
      </c>
      <c r="I17" s="93">
        <f>'2013'!C23+'2014'!C17+C17</f>
        <v>5</v>
      </c>
      <c r="J17" s="93">
        <f>'2013'!G23+'2014'!G17+G17</f>
        <v>39</v>
      </c>
      <c r="K17" s="81" t="e">
        <f t="shared" si="2"/>
        <v>#REF!</v>
      </c>
    </row>
    <row r="18" spans="1:11" ht="12.75">
      <c r="A18" s="79" t="s">
        <v>641</v>
      </c>
      <c r="B18" s="79" t="s">
        <v>659</v>
      </c>
      <c r="C18" s="79">
        <v>1</v>
      </c>
      <c r="D18" s="79"/>
      <c r="E18" s="79">
        <v>2</v>
      </c>
      <c r="F18" s="79">
        <v>5</v>
      </c>
      <c r="G18" s="9">
        <f t="shared" si="0"/>
        <v>7</v>
      </c>
      <c r="H18" s="80">
        <f t="shared" si="1"/>
        <v>0.026022304832713755</v>
      </c>
      <c r="I18" s="93">
        <f>'2014'!C18+'2015'!C15+C18</f>
        <v>4</v>
      </c>
      <c r="J18" s="93">
        <f>'2014'!G18+'2015'!G15+G18</f>
        <v>25</v>
      </c>
      <c r="K18" s="81" t="e">
        <f t="shared" si="2"/>
        <v>#REF!</v>
      </c>
    </row>
    <row r="19" spans="1:11" ht="12.75">
      <c r="A19" s="79" t="s">
        <v>727</v>
      </c>
      <c r="B19" s="79" t="s">
        <v>728</v>
      </c>
      <c r="C19" s="79">
        <v>1</v>
      </c>
      <c r="D19" s="79"/>
      <c r="E19" s="79">
        <v>5</v>
      </c>
      <c r="F19" s="79">
        <v>2</v>
      </c>
      <c r="G19" s="9">
        <f t="shared" si="0"/>
        <v>7</v>
      </c>
      <c r="H19" s="80">
        <f t="shared" si="1"/>
        <v>0.026022304832713755</v>
      </c>
      <c r="I19" s="93">
        <f>'2016'!C18+C19</f>
        <v>2</v>
      </c>
      <c r="J19" s="93">
        <f>'2016'!G18+G19</f>
        <v>15</v>
      </c>
      <c r="K19" s="81" t="e">
        <f t="shared" si="2"/>
        <v>#REF!</v>
      </c>
    </row>
    <row r="20" spans="1:11" ht="12.75">
      <c r="A20" s="79" t="s">
        <v>756</v>
      </c>
      <c r="B20" s="79" t="s">
        <v>757</v>
      </c>
      <c r="C20" s="79">
        <v>1</v>
      </c>
      <c r="D20" s="79"/>
      <c r="E20" s="79">
        <v>5</v>
      </c>
      <c r="F20" s="79">
        <v>3</v>
      </c>
      <c r="G20" s="9">
        <f t="shared" si="0"/>
        <v>8</v>
      </c>
      <c r="H20" s="80">
        <f t="shared" si="1"/>
        <v>0.02973977695167286</v>
      </c>
      <c r="I20" s="93">
        <f>'2016'!C19+C20</f>
        <v>1</v>
      </c>
      <c r="J20" s="93">
        <f>'2016'!G19+G20</f>
        <v>8</v>
      </c>
      <c r="K20" s="81" t="e">
        <f t="shared" si="2"/>
        <v>#REF!</v>
      </c>
    </row>
    <row r="21" spans="1:11" ht="12.75">
      <c r="A21" s="84" t="s">
        <v>643</v>
      </c>
      <c r="B21" s="79" t="s">
        <v>644</v>
      </c>
      <c r="C21" s="79">
        <v>2</v>
      </c>
      <c r="D21" s="79"/>
      <c r="E21" s="79">
        <v>10</v>
      </c>
      <c r="F21" s="79">
        <v>8</v>
      </c>
      <c r="G21" s="9">
        <f t="shared" si="0"/>
        <v>18</v>
      </c>
      <c r="H21" s="80">
        <f t="shared" si="1"/>
        <v>0.06691449814126393</v>
      </c>
      <c r="I21" s="93">
        <f>'2013'!C28+'2014'!C21+'2015'!C18+C21</f>
        <v>8</v>
      </c>
      <c r="J21" s="93">
        <f>'2013'!G28+'2014'!G21+'2015'!G18+G21</f>
        <v>59</v>
      </c>
      <c r="K21" s="85" t="e">
        <f t="shared" si="2"/>
        <v>#REF!</v>
      </c>
    </row>
    <row r="22" spans="1:11" ht="12.75">
      <c r="A22" s="79" t="s">
        <v>606</v>
      </c>
      <c r="B22" s="79" t="s">
        <v>607</v>
      </c>
      <c r="C22" s="79"/>
      <c r="D22" s="79"/>
      <c r="E22" s="79"/>
      <c r="F22" s="79"/>
      <c r="G22" s="9">
        <f t="shared" si="0"/>
        <v>0</v>
      </c>
      <c r="H22" s="80">
        <f t="shared" si="1"/>
        <v>0</v>
      </c>
      <c r="I22" s="93">
        <f>'2013'!C31+'2014'!C22+C22</f>
        <v>2</v>
      </c>
      <c r="J22" s="93">
        <f>'2013'!G31+'2014'!G22+G22</f>
        <v>14</v>
      </c>
      <c r="K22" s="81" t="e">
        <f t="shared" si="2"/>
        <v>#REF!</v>
      </c>
    </row>
    <row r="23" spans="1:11" ht="12.75">
      <c r="A23" s="86" t="s">
        <v>660</v>
      </c>
      <c r="B23" s="79" t="s">
        <v>661</v>
      </c>
      <c r="C23" s="79">
        <v>1</v>
      </c>
      <c r="D23" s="79"/>
      <c r="E23" s="79">
        <v>5</v>
      </c>
      <c r="F23" s="79">
        <v>1</v>
      </c>
      <c r="G23" s="9">
        <f t="shared" si="0"/>
        <v>6</v>
      </c>
      <c r="H23" s="80">
        <f t="shared" si="1"/>
        <v>0.022304832713754646</v>
      </c>
      <c r="I23" s="93">
        <f>'2013'!C32+'2014'!C23+'2015'!C20+C23</f>
        <v>7</v>
      </c>
      <c r="J23" s="93">
        <f>'2013'!G32+'2014'!G23+'2015'!G20+G23</f>
        <v>50</v>
      </c>
      <c r="K23" s="94" t="e">
        <f t="shared" si="2"/>
        <v>#REF!</v>
      </c>
    </row>
    <row r="24" spans="1:11" ht="12.75">
      <c r="A24" s="79" t="s">
        <v>626</v>
      </c>
      <c r="B24" s="79" t="s">
        <v>627</v>
      </c>
      <c r="C24" s="79"/>
      <c r="D24" s="79"/>
      <c r="E24" s="79"/>
      <c r="F24" s="79"/>
      <c r="G24" s="9">
        <f t="shared" si="0"/>
        <v>0</v>
      </c>
      <c r="H24" s="80">
        <f t="shared" si="1"/>
        <v>0</v>
      </c>
      <c r="I24" s="93">
        <f>'2013'!C34+'2015'!C22+'2016'!C22+C24</f>
        <v>3</v>
      </c>
      <c r="J24" s="93">
        <f>'2013'!G34+'2015'!G22+'2016'!G22+G24</f>
        <v>30</v>
      </c>
      <c r="K24" s="81" t="e">
        <f t="shared" si="2"/>
        <v>#REF!</v>
      </c>
    </row>
    <row r="25" spans="1:11" ht="12.75">
      <c r="A25" s="79" t="s">
        <v>662</v>
      </c>
      <c r="B25" s="79" t="s">
        <v>663</v>
      </c>
      <c r="C25" s="79">
        <v>2</v>
      </c>
      <c r="D25" s="79"/>
      <c r="E25" s="79">
        <v>12</v>
      </c>
      <c r="F25" s="79">
        <v>6</v>
      </c>
      <c r="G25" s="9">
        <f t="shared" si="0"/>
        <v>18</v>
      </c>
      <c r="H25" s="80">
        <f t="shared" si="1"/>
        <v>0.06691449814126393</v>
      </c>
      <c r="I25" s="93">
        <f>'2013'!C36+'2014'!C27+'2015'!C24+C25</f>
        <v>5</v>
      </c>
      <c r="J25" s="93">
        <f>'2013'!G36+'2014'!G27+'2015'!G24+G25</f>
        <v>39</v>
      </c>
      <c r="K25" s="81" t="e">
        <f t="shared" si="2"/>
        <v>#REF!</v>
      </c>
    </row>
    <row r="26" spans="1:11" ht="12.75">
      <c r="A26" s="79" t="s">
        <v>701</v>
      </c>
      <c r="B26" s="79" t="s">
        <v>702</v>
      </c>
      <c r="C26" s="79"/>
      <c r="D26" s="79"/>
      <c r="E26" s="79"/>
      <c r="F26" s="79"/>
      <c r="G26" s="9">
        <f t="shared" si="0"/>
        <v>0</v>
      </c>
      <c r="H26" s="80">
        <f t="shared" si="1"/>
        <v>0</v>
      </c>
      <c r="I26" s="93">
        <f>'2015'!C25+'2016'!C25+C26</f>
        <v>2</v>
      </c>
      <c r="J26" s="93">
        <f>'2015'!G25+'2016'!G25+G26</f>
        <v>19</v>
      </c>
      <c r="K26" s="81" t="e">
        <f t="shared" si="2"/>
        <v>#REF!</v>
      </c>
    </row>
    <row r="27" spans="1:11" ht="12.75">
      <c r="A27" s="79" t="s">
        <v>681</v>
      </c>
      <c r="B27" s="79" t="s">
        <v>682</v>
      </c>
      <c r="C27" s="79"/>
      <c r="D27" s="79"/>
      <c r="E27" s="79"/>
      <c r="F27" s="79"/>
      <c r="G27" s="9">
        <f t="shared" si="0"/>
        <v>0</v>
      </c>
      <c r="H27" s="80">
        <f t="shared" si="1"/>
        <v>0</v>
      </c>
      <c r="I27" s="93">
        <f>'2014'!C29+'2015'!C26+C27</f>
        <v>3</v>
      </c>
      <c r="J27" s="93">
        <f>'2014'!G29+'2015'!G26+G27</f>
        <v>25</v>
      </c>
      <c r="K27" s="81" t="e">
        <f t="shared" si="2"/>
        <v>#REF!</v>
      </c>
    </row>
    <row r="28" spans="1:11" ht="12.75">
      <c r="A28" s="79" t="s">
        <v>703</v>
      </c>
      <c r="B28" s="79" t="s">
        <v>704</v>
      </c>
      <c r="C28" s="79"/>
      <c r="D28" s="79"/>
      <c r="E28" s="79"/>
      <c r="F28" s="79"/>
      <c r="G28" s="9">
        <f t="shared" si="0"/>
        <v>0</v>
      </c>
      <c r="H28" s="80">
        <f t="shared" si="1"/>
        <v>0</v>
      </c>
      <c r="I28" s="93">
        <f>'2015'!C27+C28</f>
        <v>1</v>
      </c>
      <c r="J28" s="93">
        <f>'2015'!G27+G28</f>
        <v>7</v>
      </c>
      <c r="K28" s="81" t="e">
        <f t="shared" si="2"/>
        <v>#REF!</v>
      </c>
    </row>
    <row r="29" spans="1:11" ht="12.75">
      <c r="A29" s="79" t="s">
        <v>729</v>
      </c>
      <c r="B29" s="79" t="s">
        <v>706</v>
      </c>
      <c r="C29" s="79"/>
      <c r="D29" s="79"/>
      <c r="E29" s="79"/>
      <c r="F29" s="79"/>
      <c r="G29" s="9">
        <v>0</v>
      </c>
      <c r="H29" s="80">
        <f t="shared" si="1"/>
        <v>0</v>
      </c>
      <c r="I29" s="93">
        <f>'2015'!I29</f>
        <v>1</v>
      </c>
      <c r="J29" s="93">
        <f>'2015'!J29</f>
        <v>6</v>
      </c>
      <c r="K29" s="81" t="e">
        <f t="shared" si="2"/>
        <v>#REF!</v>
      </c>
    </row>
    <row r="30" spans="1:11" ht="12.75">
      <c r="A30" s="79" t="s">
        <v>707</v>
      </c>
      <c r="B30" s="79" t="s">
        <v>708</v>
      </c>
      <c r="C30" s="79"/>
      <c r="D30" s="79"/>
      <c r="E30" s="79"/>
      <c r="F30" s="79"/>
      <c r="G30" s="9">
        <f aca="true" t="shared" si="3" ref="G30:G54">SUM(E30+F30)</f>
        <v>0</v>
      </c>
      <c r="H30" s="80">
        <f t="shared" si="1"/>
        <v>0</v>
      </c>
      <c r="I30" s="93">
        <f>'2015'!C30+C30</f>
        <v>1</v>
      </c>
      <c r="J30" s="93">
        <f>'2015'!G30+G29</f>
        <v>9</v>
      </c>
      <c r="K30" s="81" t="e">
        <f t="shared" si="2"/>
        <v>#REF!</v>
      </c>
    </row>
    <row r="31" spans="1:11" ht="12.75">
      <c r="A31" s="79" t="s">
        <v>683</v>
      </c>
      <c r="B31" s="79" t="s">
        <v>684</v>
      </c>
      <c r="C31" s="79"/>
      <c r="D31" s="79"/>
      <c r="E31" s="79"/>
      <c r="F31" s="79"/>
      <c r="G31" s="9">
        <f t="shared" si="3"/>
        <v>0</v>
      </c>
      <c r="H31" s="80">
        <f t="shared" si="1"/>
        <v>0</v>
      </c>
      <c r="I31" s="93">
        <f>'2014'!C31+C31</f>
        <v>1</v>
      </c>
      <c r="J31" s="93">
        <f>'2014'!G31+G31</f>
        <v>9</v>
      </c>
      <c r="K31" s="81" t="e">
        <f t="shared" si="2"/>
        <v>#REF!</v>
      </c>
    </row>
    <row r="32" spans="1:11" ht="12.75">
      <c r="A32" s="79" t="s">
        <v>758</v>
      </c>
      <c r="B32" s="79" t="s">
        <v>759</v>
      </c>
      <c r="C32" s="79">
        <v>1</v>
      </c>
      <c r="D32" s="79"/>
      <c r="E32" s="79">
        <v>2</v>
      </c>
      <c r="F32" s="79">
        <v>2</v>
      </c>
      <c r="G32" s="9">
        <f t="shared" si="3"/>
        <v>4</v>
      </c>
      <c r="H32" s="80">
        <f t="shared" si="1"/>
        <v>0.01486988847583643</v>
      </c>
      <c r="I32" s="93">
        <f>C32</f>
        <v>1</v>
      </c>
      <c r="J32" s="93">
        <f>G32</f>
        <v>4</v>
      </c>
      <c r="K32" s="81" t="e">
        <f t="shared" si="2"/>
        <v>#REF!</v>
      </c>
    </row>
    <row r="33" spans="1:11" ht="12.75">
      <c r="A33" s="79" t="s">
        <v>730</v>
      </c>
      <c r="B33" s="79" t="s">
        <v>731</v>
      </c>
      <c r="C33" s="79">
        <v>1</v>
      </c>
      <c r="D33" s="79"/>
      <c r="E33" s="79">
        <v>5</v>
      </c>
      <c r="F33" s="79">
        <v>2</v>
      </c>
      <c r="G33" s="9">
        <f t="shared" si="3"/>
        <v>7</v>
      </c>
      <c r="H33" s="80">
        <f t="shared" si="1"/>
        <v>0.026022304832713755</v>
      </c>
      <c r="I33" s="93">
        <f>'2016'!C31+C33</f>
        <v>3</v>
      </c>
      <c r="J33" s="93">
        <f>'2016'!G31+G33</f>
        <v>21</v>
      </c>
      <c r="K33" s="81" t="e">
        <f t="shared" si="2"/>
        <v>#REF!</v>
      </c>
    </row>
    <row r="34" spans="1:11" ht="12.75">
      <c r="A34" s="84" t="s">
        <v>693</v>
      </c>
      <c r="B34" s="79" t="s">
        <v>694</v>
      </c>
      <c r="C34" s="79">
        <v>3</v>
      </c>
      <c r="D34" s="79"/>
      <c r="E34" s="79">
        <v>13</v>
      </c>
      <c r="F34" s="79">
        <v>12</v>
      </c>
      <c r="G34" s="9">
        <f t="shared" si="3"/>
        <v>25</v>
      </c>
      <c r="H34" s="80">
        <f t="shared" si="1"/>
        <v>0.09293680297397769</v>
      </c>
      <c r="I34" s="93">
        <f>'2014'!C72+'2015'!C72+'2016'!C32+C34</f>
        <v>6</v>
      </c>
      <c r="J34" s="93">
        <f>'2014'!G72+'2015'!G72+'2016'!G32+G34</f>
        <v>55</v>
      </c>
      <c r="K34" s="85" t="e">
        <f t="shared" si="2"/>
        <v>#REF!</v>
      </c>
    </row>
    <row r="35" spans="1:11" ht="12.75">
      <c r="A35" s="79" t="s">
        <v>709</v>
      </c>
      <c r="B35" s="79" t="s">
        <v>710</v>
      </c>
      <c r="C35" s="79">
        <v>1</v>
      </c>
      <c r="D35" s="79"/>
      <c r="E35" s="79">
        <v>4</v>
      </c>
      <c r="F35" s="79">
        <v>4</v>
      </c>
      <c r="G35" s="9">
        <f t="shared" si="3"/>
        <v>8</v>
      </c>
      <c r="H35" s="80">
        <f aca="true" t="shared" si="4" ref="H35:H66">G35/$G$82</f>
        <v>0.02973977695167286</v>
      </c>
      <c r="I35" s="93">
        <f>'2015'!C32+'2016'!C33+C35</f>
        <v>3</v>
      </c>
      <c r="J35" s="93">
        <f>'2015'!G32+'2016'!G33+G35</f>
        <v>27</v>
      </c>
      <c r="K35" s="81" t="e">
        <f aca="true" t="shared" si="5" ref="K35:K66">J35/$J$82</f>
        <v>#REF!</v>
      </c>
    </row>
    <row r="36" spans="1:11" ht="12.75">
      <c r="A36" s="79" t="s">
        <v>711</v>
      </c>
      <c r="B36" s="79" t="s">
        <v>712</v>
      </c>
      <c r="C36" s="79"/>
      <c r="D36" s="79"/>
      <c r="E36" s="79"/>
      <c r="F36" s="79"/>
      <c r="G36" s="9">
        <f t="shared" si="3"/>
        <v>0</v>
      </c>
      <c r="H36" s="80">
        <f t="shared" si="4"/>
        <v>0</v>
      </c>
      <c r="I36" s="93">
        <f>'2015'!C35+C36</f>
        <v>1</v>
      </c>
      <c r="J36" s="93">
        <f>'2015'!G35+G36</f>
        <v>8</v>
      </c>
      <c r="K36" s="81" t="e">
        <f t="shared" si="5"/>
        <v>#REF!</v>
      </c>
    </row>
    <row r="37" spans="1:11" ht="12.75">
      <c r="A37" s="86" t="s">
        <v>631</v>
      </c>
      <c r="B37" s="79" t="s">
        <v>632</v>
      </c>
      <c r="C37" s="79"/>
      <c r="D37" s="79"/>
      <c r="E37" s="79"/>
      <c r="F37" s="79"/>
      <c r="G37" s="9">
        <f t="shared" si="3"/>
        <v>0</v>
      </c>
      <c r="H37" s="80">
        <f t="shared" si="4"/>
        <v>0</v>
      </c>
      <c r="I37" s="93">
        <f>'2014'!C37+'2015'!C37+'2016'!C37</f>
        <v>5</v>
      </c>
      <c r="J37" s="93">
        <f>'2014'!G37+'2015'!G37+'2016'!G37</f>
        <v>37</v>
      </c>
      <c r="K37" s="81" t="e">
        <f t="shared" si="5"/>
        <v>#REF!</v>
      </c>
    </row>
    <row r="38" spans="1:11" ht="12.75">
      <c r="A38" s="79" t="s">
        <v>664</v>
      </c>
      <c r="B38" s="79" t="s">
        <v>665</v>
      </c>
      <c r="C38" s="79"/>
      <c r="D38" s="79"/>
      <c r="E38" s="79"/>
      <c r="F38" s="79"/>
      <c r="G38" s="9">
        <f t="shared" si="3"/>
        <v>0</v>
      </c>
      <c r="H38" s="80">
        <f t="shared" si="4"/>
        <v>0</v>
      </c>
      <c r="I38" s="93">
        <f>'2013'!C47+C38</f>
        <v>1</v>
      </c>
      <c r="J38" s="93">
        <f>'2013'!G47+G38</f>
        <v>6</v>
      </c>
      <c r="K38" s="81" t="e">
        <f t="shared" si="5"/>
        <v>#REF!</v>
      </c>
    </row>
    <row r="39" spans="1:11" ht="12.75">
      <c r="A39" s="79" t="s">
        <v>732</v>
      </c>
      <c r="B39" s="79" t="s">
        <v>733</v>
      </c>
      <c r="C39" s="79">
        <v>1</v>
      </c>
      <c r="D39" s="79"/>
      <c r="E39" s="79">
        <v>5</v>
      </c>
      <c r="F39" s="79">
        <v>1</v>
      </c>
      <c r="G39" s="9">
        <f t="shared" si="3"/>
        <v>6</v>
      </c>
      <c r="H39" s="80">
        <f t="shared" si="4"/>
        <v>0.022304832713754646</v>
      </c>
      <c r="I39" s="93">
        <f>'2016'!C39+C39</f>
        <v>2</v>
      </c>
      <c r="J39" s="93">
        <f>'2016'!G39+G39</f>
        <v>13</v>
      </c>
      <c r="K39" s="81" t="e">
        <f t="shared" si="5"/>
        <v>#REF!</v>
      </c>
    </row>
    <row r="40" spans="1:11" ht="12.75">
      <c r="A40" s="79" t="s">
        <v>734</v>
      </c>
      <c r="B40" s="79" t="s">
        <v>735</v>
      </c>
      <c r="C40" s="79">
        <v>1</v>
      </c>
      <c r="D40" s="79"/>
      <c r="E40" s="79">
        <v>5</v>
      </c>
      <c r="F40" s="79">
        <v>4</v>
      </c>
      <c r="G40" s="9">
        <f t="shared" si="3"/>
        <v>9</v>
      </c>
      <c r="H40" s="80">
        <f t="shared" si="4"/>
        <v>0.03345724907063197</v>
      </c>
      <c r="I40" s="93">
        <f>'2016'!C40+C40</f>
        <v>2</v>
      </c>
      <c r="J40" s="93">
        <f>'2016'!G40+G40</f>
        <v>18</v>
      </c>
      <c r="K40" s="81" t="e">
        <f t="shared" si="5"/>
        <v>#REF!</v>
      </c>
    </row>
    <row r="41" spans="1:11" ht="12.75">
      <c r="A41" s="79" t="s">
        <v>666</v>
      </c>
      <c r="B41" s="79" t="s">
        <v>667</v>
      </c>
      <c r="C41" s="79"/>
      <c r="D41" s="79"/>
      <c r="E41" s="79"/>
      <c r="F41" s="79"/>
      <c r="G41" s="9">
        <f t="shared" si="3"/>
        <v>0</v>
      </c>
      <c r="H41" s="80">
        <f t="shared" si="4"/>
        <v>0</v>
      </c>
      <c r="I41" s="93">
        <f>'2013'!C48+C41</f>
        <v>1</v>
      </c>
      <c r="J41" s="93">
        <f>'2013'!G48+G41</f>
        <v>5</v>
      </c>
      <c r="K41" s="81" t="e">
        <f t="shared" si="5"/>
        <v>#REF!</v>
      </c>
    </row>
    <row r="42" spans="1:11" ht="12.75">
      <c r="A42" s="79" t="s">
        <v>715</v>
      </c>
      <c r="B42" s="79" t="s">
        <v>736</v>
      </c>
      <c r="C42" s="79"/>
      <c r="D42" s="79"/>
      <c r="E42" s="79"/>
      <c r="F42" s="79"/>
      <c r="G42" s="9">
        <f t="shared" si="3"/>
        <v>0</v>
      </c>
      <c r="H42" s="80">
        <f t="shared" si="4"/>
        <v>0</v>
      </c>
      <c r="I42" s="93">
        <f>'2015'!C41+C42</f>
        <v>1</v>
      </c>
      <c r="J42" s="93">
        <f>'2015'!G41+C42</f>
        <v>6</v>
      </c>
      <c r="K42" s="81" t="e">
        <f t="shared" si="5"/>
        <v>#REF!</v>
      </c>
    </row>
    <row r="43" spans="1:11" ht="12.75">
      <c r="A43" s="82" t="s">
        <v>150</v>
      </c>
      <c r="B43" s="79" t="s">
        <v>668</v>
      </c>
      <c r="C43" s="79">
        <v>1</v>
      </c>
      <c r="D43" s="79"/>
      <c r="E43" s="79">
        <v>5</v>
      </c>
      <c r="F43" s="79">
        <v>3</v>
      </c>
      <c r="G43" s="9">
        <f t="shared" si="3"/>
        <v>8</v>
      </c>
      <c r="H43" s="80">
        <f t="shared" si="4"/>
        <v>0.02973977695167286</v>
      </c>
      <c r="I43" s="93">
        <f>'2013'!C49+'2014'!C40+'2015'!C42+'2016'!C43+C43</f>
        <v>9</v>
      </c>
      <c r="J43" s="93">
        <f>'2013'!G49+'2014'!G40+'2015'!G42+'2016'!G43+G43</f>
        <v>71</v>
      </c>
      <c r="K43" s="83" t="e">
        <f t="shared" si="5"/>
        <v>#REF!</v>
      </c>
    </row>
    <row r="44" spans="1:11" ht="12.75">
      <c r="A44" s="79" t="s">
        <v>582</v>
      </c>
      <c r="B44" s="79" t="s">
        <v>583</v>
      </c>
      <c r="C44" s="79"/>
      <c r="D44" s="79"/>
      <c r="E44" s="79"/>
      <c r="F44" s="79"/>
      <c r="G44" s="9">
        <f t="shared" si="3"/>
        <v>0</v>
      </c>
      <c r="H44" s="80">
        <f t="shared" si="4"/>
        <v>0</v>
      </c>
      <c r="I44" s="93">
        <f>'2013'!C50</f>
        <v>2</v>
      </c>
      <c r="J44" s="93">
        <f>'2013'!G50</f>
        <v>17</v>
      </c>
      <c r="K44" s="81" t="e">
        <f t="shared" si="5"/>
        <v>#REF!</v>
      </c>
    </row>
    <row r="45" spans="1:11" ht="12.75">
      <c r="A45" s="79" t="s">
        <v>557</v>
      </c>
      <c r="B45" s="79" t="s">
        <v>558</v>
      </c>
      <c r="C45" s="79"/>
      <c r="D45" s="79"/>
      <c r="E45" s="79"/>
      <c r="F45" s="79"/>
      <c r="G45" s="9">
        <f t="shared" si="3"/>
        <v>0</v>
      </c>
      <c r="H45" s="80">
        <f t="shared" si="4"/>
        <v>0</v>
      </c>
      <c r="I45" s="93">
        <f>'2013'!C53</f>
        <v>1</v>
      </c>
      <c r="J45" s="93">
        <f>'2013'!G53</f>
        <v>5</v>
      </c>
      <c r="K45" s="81" t="e">
        <f t="shared" si="5"/>
        <v>#REF!</v>
      </c>
    </row>
    <row r="46" spans="1:11" ht="12.75">
      <c r="A46" s="79" t="s">
        <v>737</v>
      </c>
      <c r="B46" s="79" t="s">
        <v>738</v>
      </c>
      <c r="C46" s="79"/>
      <c r="D46" s="79"/>
      <c r="E46" s="79"/>
      <c r="F46" s="79"/>
      <c r="G46" s="9">
        <f t="shared" si="3"/>
        <v>0</v>
      </c>
      <c r="H46" s="80">
        <f t="shared" si="4"/>
        <v>0</v>
      </c>
      <c r="I46" s="93">
        <f>'2016'!C46+C46</f>
        <v>1</v>
      </c>
      <c r="J46" s="93">
        <f>'2016'!G46+G46</f>
        <v>7</v>
      </c>
      <c r="K46" s="81" t="e">
        <f t="shared" si="5"/>
        <v>#REF!</v>
      </c>
    </row>
    <row r="47" spans="1:11" ht="12.75">
      <c r="A47" s="79" t="s">
        <v>669</v>
      </c>
      <c r="B47" s="79" t="s">
        <v>670</v>
      </c>
      <c r="C47" s="79">
        <v>1</v>
      </c>
      <c r="D47" s="79"/>
      <c r="E47" s="79">
        <v>5</v>
      </c>
      <c r="F47" s="79">
        <v>2</v>
      </c>
      <c r="G47" s="9">
        <f t="shared" si="3"/>
        <v>7</v>
      </c>
      <c r="H47" s="80">
        <f t="shared" si="4"/>
        <v>0.026022304832713755</v>
      </c>
      <c r="I47" s="93">
        <f>'2013'!C55+'2014'!C45+'2015'!C47+C47</f>
        <v>7</v>
      </c>
      <c r="J47" s="93">
        <f>'2013'!G55+'2014'!G45+'2015'!G47+G47</f>
        <v>42</v>
      </c>
      <c r="K47" s="81" t="e">
        <f t="shared" si="5"/>
        <v>#REF!</v>
      </c>
    </row>
    <row r="48" spans="1:11" ht="12.75">
      <c r="A48" s="79" t="s">
        <v>633</v>
      </c>
      <c r="B48" s="79" t="s">
        <v>634</v>
      </c>
      <c r="C48" s="79"/>
      <c r="D48" s="79"/>
      <c r="E48" s="79"/>
      <c r="F48" s="79"/>
      <c r="G48" s="9">
        <f t="shared" si="3"/>
        <v>0</v>
      </c>
      <c r="H48" s="80">
        <f t="shared" si="4"/>
        <v>0</v>
      </c>
      <c r="I48" s="93">
        <f>'2013'!C58+'2014'!C46+C48</f>
        <v>2</v>
      </c>
      <c r="J48" s="93">
        <f>'2013'!G58+'2014'!G46+G48</f>
        <v>16</v>
      </c>
      <c r="K48" s="81" t="e">
        <f t="shared" si="5"/>
        <v>#REF!</v>
      </c>
    </row>
    <row r="49" spans="1:12" ht="12.75">
      <c r="A49" s="82" t="s">
        <v>588</v>
      </c>
      <c r="B49" s="79" t="s">
        <v>589</v>
      </c>
      <c r="C49" s="79"/>
      <c r="D49" s="79"/>
      <c r="E49" s="79"/>
      <c r="F49" s="79"/>
      <c r="G49" s="9">
        <f t="shared" si="3"/>
        <v>0</v>
      </c>
      <c r="H49" s="80">
        <f t="shared" si="4"/>
        <v>0</v>
      </c>
      <c r="I49" s="93">
        <f>'2013'!C60+'2014'!C48+'2015'!C50+'2016'!C50</f>
        <v>7</v>
      </c>
      <c r="J49" s="93">
        <f>'2013'!G60+'2014'!G48+'2015'!G50+'2016'!G50</f>
        <v>60</v>
      </c>
      <c r="K49" s="83" t="e">
        <f t="shared" si="5"/>
        <v>#REF!</v>
      </c>
      <c r="L49" t="s">
        <v>739</v>
      </c>
    </row>
    <row r="50" spans="1:11" ht="12.75">
      <c r="A50" s="86" t="s">
        <v>740</v>
      </c>
      <c r="B50" s="79" t="s">
        <v>741</v>
      </c>
      <c r="C50" s="79"/>
      <c r="D50" s="79"/>
      <c r="E50" s="79"/>
      <c r="F50" s="79"/>
      <c r="G50" s="9">
        <f t="shared" si="3"/>
        <v>0</v>
      </c>
      <c r="H50" s="80">
        <f t="shared" si="4"/>
        <v>0</v>
      </c>
      <c r="I50" s="93">
        <f>'2016'!C51+C50</f>
        <v>1</v>
      </c>
      <c r="J50" s="93">
        <f>'2016'!G51+G50</f>
        <v>8</v>
      </c>
      <c r="K50" s="81" t="e">
        <f t="shared" si="5"/>
        <v>#REF!</v>
      </c>
    </row>
    <row r="51" spans="1:11" ht="12.75">
      <c r="A51" s="86" t="s">
        <v>685</v>
      </c>
      <c r="B51" s="79" t="s">
        <v>686</v>
      </c>
      <c r="C51" s="79">
        <v>3</v>
      </c>
      <c r="D51" s="79"/>
      <c r="E51" s="79">
        <v>9</v>
      </c>
      <c r="F51" s="79">
        <v>15</v>
      </c>
      <c r="G51" s="9">
        <f t="shared" si="3"/>
        <v>24</v>
      </c>
      <c r="H51" s="80">
        <f t="shared" si="4"/>
        <v>0.08921933085501858</v>
      </c>
      <c r="I51" s="93">
        <f>'2014'!C49+'2015'!C51+'2016'!C52+C51</f>
        <v>8</v>
      </c>
      <c r="J51" s="93">
        <f>'2014'!G49+'2015'!G51+'2016'!G52+G51</f>
        <v>47</v>
      </c>
      <c r="K51" s="94" t="e">
        <f t="shared" si="5"/>
        <v>#REF!</v>
      </c>
    </row>
    <row r="52" spans="1:11" ht="12.75">
      <c r="A52" s="86" t="s">
        <v>742</v>
      </c>
      <c r="B52" s="79" t="s">
        <v>743</v>
      </c>
      <c r="C52" s="79">
        <v>3</v>
      </c>
      <c r="D52" s="79"/>
      <c r="E52" s="79">
        <v>16</v>
      </c>
      <c r="F52" s="79">
        <v>8</v>
      </c>
      <c r="G52" s="9">
        <f t="shared" si="3"/>
        <v>24</v>
      </c>
      <c r="H52" s="80">
        <f t="shared" si="4"/>
        <v>0.08921933085501858</v>
      </c>
      <c r="I52" s="93">
        <f>'2016'!C53+C52</f>
        <v>5</v>
      </c>
      <c r="J52" s="93">
        <f>'2016'!G53+G52</f>
        <v>42</v>
      </c>
      <c r="K52" s="94" t="e">
        <f t="shared" si="5"/>
        <v>#REF!</v>
      </c>
    </row>
    <row r="53" spans="1:11" ht="12.75">
      <c r="A53" s="79" t="s">
        <v>744</v>
      </c>
      <c r="B53" s="79" t="s">
        <v>745</v>
      </c>
      <c r="C53" s="79">
        <v>2</v>
      </c>
      <c r="D53" s="79"/>
      <c r="E53" s="79">
        <v>6</v>
      </c>
      <c r="F53" s="79">
        <v>5</v>
      </c>
      <c r="G53" s="9">
        <f t="shared" si="3"/>
        <v>11</v>
      </c>
      <c r="H53" s="80">
        <f t="shared" si="4"/>
        <v>0.040892193308550186</v>
      </c>
      <c r="I53" s="93">
        <f>'2016'!C55+C53</f>
        <v>4</v>
      </c>
      <c r="J53" s="93">
        <f>'2016'!G55+G53</f>
        <v>31</v>
      </c>
      <c r="K53" s="81" t="e">
        <f t="shared" si="5"/>
        <v>#REF!</v>
      </c>
    </row>
    <row r="54" spans="1:11" ht="12.75">
      <c r="A54" s="79" t="s">
        <v>760</v>
      </c>
      <c r="B54" s="79" t="s">
        <v>761</v>
      </c>
      <c r="C54" s="79">
        <v>1</v>
      </c>
      <c r="D54" s="79"/>
      <c r="E54" s="79">
        <v>4</v>
      </c>
      <c r="F54" s="79">
        <v>5</v>
      </c>
      <c r="G54" s="9">
        <f t="shared" si="3"/>
        <v>9</v>
      </c>
      <c r="H54" s="80">
        <f t="shared" si="4"/>
        <v>0.03345724907063197</v>
      </c>
      <c r="I54" s="93">
        <f>'2016'!C56+C54</f>
        <v>1</v>
      </c>
      <c r="J54" s="93">
        <f>'2016'!G56+G54</f>
        <v>9</v>
      </c>
      <c r="K54" s="81" t="e">
        <f t="shared" si="5"/>
        <v>#REF!</v>
      </c>
    </row>
    <row r="55" spans="1:11" ht="12.75">
      <c r="A55" s="79"/>
      <c r="B55" s="79"/>
      <c r="C55" s="79"/>
      <c r="D55" s="79"/>
      <c r="E55" s="79"/>
      <c r="F55" s="79"/>
      <c r="G55" s="9"/>
      <c r="H55" s="80"/>
      <c r="I55" s="93"/>
      <c r="J55" s="93"/>
      <c r="K55" s="81"/>
    </row>
    <row r="56" spans="1:11" ht="12.75">
      <c r="A56" s="79" t="s">
        <v>762</v>
      </c>
      <c r="B56" s="79"/>
      <c r="C56" s="88"/>
      <c r="D56" s="79"/>
      <c r="E56" s="88"/>
      <c r="F56" s="88"/>
      <c r="G56" s="9"/>
      <c r="H56" s="80"/>
      <c r="I56" s="93"/>
      <c r="J56" s="93"/>
      <c r="K56" s="81"/>
    </row>
    <row r="57" spans="1:11" ht="12.75">
      <c r="A57" s="79"/>
      <c r="B57" s="79"/>
      <c r="C57" s="79"/>
      <c r="D57" s="79"/>
      <c r="E57" s="79"/>
      <c r="F57" s="79"/>
      <c r="H57" s="80"/>
      <c r="I57" s="95"/>
      <c r="J57" s="95"/>
      <c r="K57" s="81"/>
    </row>
    <row r="58" spans="1:11" ht="12.75">
      <c r="A58" s="79"/>
      <c r="B58" s="79"/>
      <c r="C58" s="79"/>
      <c r="D58" s="79"/>
      <c r="E58" s="79"/>
      <c r="F58" s="79"/>
      <c r="H58" s="80"/>
      <c r="I58" s="95"/>
      <c r="J58" s="95"/>
      <c r="K58" s="81"/>
    </row>
    <row r="59" spans="1:11" ht="12.75">
      <c r="A59" s="79" t="s">
        <v>687</v>
      </c>
      <c r="B59" s="79" t="s">
        <v>688</v>
      </c>
      <c r="C59" s="79"/>
      <c r="D59" s="79"/>
      <c r="E59" s="79"/>
      <c r="F59" s="79"/>
      <c r="G59" s="9">
        <f aca="true" t="shared" si="6" ref="G59:G74">SUM(E59+F59)</f>
        <v>0</v>
      </c>
      <c r="H59" s="80">
        <f aca="true" t="shared" si="7" ref="H59:H74">G59/$G$82</f>
        <v>0</v>
      </c>
      <c r="I59" s="93">
        <f>'2014'!C56+'2016'!C60+C59</f>
        <v>3</v>
      </c>
      <c r="J59" s="93">
        <f>'2014'!G56+'2016'!G60+G59</f>
        <v>20</v>
      </c>
      <c r="K59" s="81" t="e">
        <f aca="true" t="shared" si="8" ref="K59:K74">J59/$J$82</f>
        <v>#REF!</v>
      </c>
    </row>
    <row r="60" spans="1:11" ht="12.75">
      <c r="A60" s="79" t="s">
        <v>746</v>
      </c>
      <c r="B60" s="79" t="s">
        <v>747</v>
      </c>
      <c r="C60" s="79">
        <v>1</v>
      </c>
      <c r="D60" s="79"/>
      <c r="E60" s="79">
        <v>3</v>
      </c>
      <c r="F60" s="79">
        <v>5</v>
      </c>
      <c r="G60" s="9">
        <f t="shared" si="6"/>
        <v>8</v>
      </c>
      <c r="H60" s="80">
        <f t="shared" si="7"/>
        <v>0.02973977695167286</v>
      </c>
      <c r="I60" s="93">
        <f>'2016'!C61+C60</f>
        <v>2</v>
      </c>
      <c r="J60" s="93">
        <f>'2016'!G61+G60</f>
        <v>14</v>
      </c>
      <c r="K60" s="81" t="e">
        <f t="shared" si="8"/>
        <v>#REF!</v>
      </c>
    </row>
    <row r="61" spans="1:11" ht="12.75">
      <c r="A61" s="79" t="s">
        <v>671</v>
      </c>
      <c r="B61" s="79" t="s">
        <v>672</v>
      </c>
      <c r="C61" s="79"/>
      <c r="D61" s="79"/>
      <c r="E61" s="79"/>
      <c r="F61" s="79"/>
      <c r="G61" s="9">
        <f t="shared" si="6"/>
        <v>0</v>
      </c>
      <c r="H61" s="80">
        <f t="shared" si="7"/>
        <v>0</v>
      </c>
      <c r="I61" s="93">
        <f>'2013'!C67</f>
        <v>1</v>
      </c>
      <c r="J61" s="93">
        <f>'2013'!G67</f>
        <v>5</v>
      </c>
      <c r="K61" s="81" t="e">
        <f t="shared" si="8"/>
        <v>#REF!</v>
      </c>
    </row>
    <row r="62" spans="1:11" ht="12.75">
      <c r="A62" s="79" t="s">
        <v>593</v>
      </c>
      <c r="B62" s="79" t="s">
        <v>594</v>
      </c>
      <c r="C62" s="79"/>
      <c r="D62" s="79"/>
      <c r="E62" s="79"/>
      <c r="F62" s="79"/>
      <c r="G62" s="9">
        <f t="shared" si="6"/>
        <v>0</v>
      </c>
      <c r="H62" s="80">
        <f t="shared" si="7"/>
        <v>0</v>
      </c>
      <c r="I62" s="93">
        <f>'2013'!C70+C62</f>
        <v>1</v>
      </c>
      <c r="J62" s="93">
        <f>'2013'!G70+G62</f>
        <v>6</v>
      </c>
      <c r="K62" s="81" t="e">
        <f t="shared" si="8"/>
        <v>#REF!</v>
      </c>
    </row>
    <row r="63" spans="1:11" ht="12.75">
      <c r="A63" s="79" t="s">
        <v>748</v>
      </c>
      <c r="B63" s="79" t="s">
        <v>749</v>
      </c>
      <c r="C63" s="79"/>
      <c r="D63" s="79"/>
      <c r="E63" s="79"/>
      <c r="F63" s="79"/>
      <c r="G63" s="9">
        <f t="shared" si="6"/>
        <v>0</v>
      </c>
      <c r="H63" s="80">
        <f t="shared" si="7"/>
        <v>0</v>
      </c>
      <c r="I63" s="93">
        <f>'2013'!C67</f>
        <v>1</v>
      </c>
      <c r="J63" s="93">
        <f>'2016'!G65</f>
        <v>6</v>
      </c>
      <c r="K63" s="81" t="e">
        <f t="shared" si="8"/>
        <v>#REF!</v>
      </c>
    </row>
    <row r="64" spans="1:11" ht="12.75">
      <c r="A64" s="79" t="s">
        <v>750</v>
      </c>
      <c r="B64" s="79" t="s">
        <v>751</v>
      </c>
      <c r="C64" s="79">
        <v>1</v>
      </c>
      <c r="D64" s="79"/>
      <c r="E64" s="79">
        <v>3</v>
      </c>
      <c r="F64" s="79">
        <v>4</v>
      </c>
      <c r="G64" s="9">
        <f t="shared" si="6"/>
        <v>7</v>
      </c>
      <c r="H64" s="80">
        <f t="shared" si="7"/>
        <v>0.026022304832713755</v>
      </c>
      <c r="I64" s="93">
        <f>'2016'!C66+C64</f>
        <v>2</v>
      </c>
      <c r="J64" s="93">
        <f>'2016'!G66+G64</f>
        <v>16</v>
      </c>
      <c r="K64" s="81" t="e">
        <f t="shared" si="8"/>
        <v>#REF!</v>
      </c>
    </row>
    <row r="65" spans="1:11" ht="12.75">
      <c r="A65" s="79" t="s">
        <v>651</v>
      </c>
      <c r="B65" s="79" t="s">
        <v>652</v>
      </c>
      <c r="C65" s="79"/>
      <c r="D65" s="79"/>
      <c r="E65" s="79"/>
      <c r="F65" s="79"/>
      <c r="G65" s="9">
        <f t="shared" si="6"/>
        <v>0</v>
      </c>
      <c r="H65" s="80">
        <f t="shared" si="7"/>
        <v>0</v>
      </c>
      <c r="I65" s="93">
        <f>'2013'!C71+'2014'!C61+C65</f>
        <v>2</v>
      </c>
      <c r="J65" s="93">
        <f>'2013'!G71+'2014'!G61+G65</f>
        <v>14</v>
      </c>
      <c r="K65" s="81" t="e">
        <f t="shared" si="8"/>
        <v>#REF!</v>
      </c>
    </row>
    <row r="66" spans="1:11" ht="12.75">
      <c r="A66" s="79" t="s">
        <v>673</v>
      </c>
      <c r="B66" s="79" t="s">
        <v>674</v>
      </c>
      <c r="C66" s="79"/>
      <c r="D66" s="79"/>
      <c r="E66" s="79"/>
      <c r="F66" s="79"/>
      <c r="G66" s="9">
        <f t="shared" si="6"/>
        <v>0</v>
      </c>
      <c r="H66" s="80">
        <f t="shared" si="7"/>
        <v>0</v>
      </c>
      <c r="I66" s="93">
        <f>'2013'!C73</f>
        <v>1</v>
      </c>
      <c r="J66" s="93">
        <f>'2013'!G73</f>
        <v>6</v>
      </c>
      <c r="K66" s="81" t="e">
        <f t="shared" si="8"/>
        <v>#REF!</v>
      </c>
    </row>
    <row r="67" spans="1:11" ht="12.75">
      <c r="A67" s="79" t="s">
        <v>653</v>
      </c>
      <c r="B67" s="79" t="s">
        <v>654</v>
      </c>
      <c r="C67" s="79"/>
      <c r="D67" s="79"/>
      <c r="E67" s="79"/>
      <c r="F67" s="79"/>
      <c r="G67" s="9">
        <f t="shared" si="6"/>
        <v>0</v>
      </c>
      <c r="H67" s="80">
        <f t="shared" si="7"/>
        <v>0</v>
      </c>
      <c r="I67" s="93">
        <f>'2014'!C66+C67</f>
        <v>1</v>
      </c>
      <c r="J67" s="93">
        <f>'2014'!G66+G67</f>
        <v>9</v>
      </c>
      <c r="K67" s="81" t="e">
        <f t="shared" si="8"/>
        <v>#REF!</v>
      </c>
    </row>
    <row r="68" spans="1:11" ht="12.75">
      <c r="A68" s="79" t="s">
        <v>689</v>
      </c>
      <c r="B68" s="79" t="s">
        <v>690</v>
      </c>
      <c r="C68" s="79"/>
      <c r="D68" s="79"/>
      <c r="E68" s="79"/>
      <c r="F68" s="79"/>
      <c r="G68" s="9">
        <f t="shared" si="6"/>
        <v>0</v>
      </c>
      <c r="H68" s="80">
        <f t="shared" si="7"/>
        <v>0</v>
      </c>
      <c r="I68" s="93">
        <f>'2014'!C70+'2015'!C70+C68</f>
        <v>2</v>
      </c>
      <c r="J68" s="93">
        <f>'2014'!G70+'2015'!G70+G68</f>
        <v>8</v>
      </c>
      <c r="K68" s="81" t="e">
        <f t="shared" si="8"/>
        <v>#REF!</v>
      </c>
    </row>
    <row r="69" spans="1:11" ht="12.75">
      <c r="A69" s="79" t="s">
        <v>752</v>
      </c>
      <c r="B69" s="79" t="s">
        <v>753</v>
      </c>
      <c r="C69" s="79"/>
      <c r="D69" s="79"/>
      <c r="E69" s="79"/>
      <c r="F69" s="79"/>
      <c r="G69" s="9">
        <f t="shared" si="6"/>
        <v>0</v>
      </c>
      <c r="H69" s="80">
        <f t="shared" si="7"/>
        <v>0</v>
      </c>
      <c r="I69" s="93">
        <f>'2016'!C75+C69</f>
        <v>1</v>
      </c>
      <c r="J69" s="93">
        <f>'2016'!G75+G69</f>
        <v>9</v>
      </c>
      <c r="K69" s="81" t="e">
        <f t="shared" si="8"/>
        <v>#REF!</v>
      </c>
    </row>
    <row r="70" spans="1:11" ht="12.75">
      <c r="A70" s="79" t="s">
        <v>691</v>
      </c>
      <c r="B70" s="79" t="s">
        <v>692</v>
      </c>
      <c r="C70" s="79"/>
      <c r="D70" s="79"/>
      <c r="E70" s="79"/>
      <c r="F70" s="79"/>
      <c r="G70" s="9">
        <f t="shared" si="6"/>
        <v>0</v>
      </c>
      <c r="H70" s="80">
        <f t="shared" si="7"/>
        <v>0</v>
      </c>
      <c r="I70" s="93">
        <f>'2014'!C71+C70</f>
        <v>1</v>
      </c>
      <c r="J70" s="93">
        <f>'2014'!G71+G70</f>
        <v>7</v>
      </c>
      <c r="K70" s="81" t="e">
        <f t="shared" si="8"/>
        <v>#REF!</v>
      </c>
    </row>
    <row r="71" spans="1:11" ht="12.75">
      <c r="A71" s="79" t="s">
        <v>675</v>
      </c>
      <c r="B71" s="79" t="s">
        <v>676</v>
      </c>
      <c r="C71" s="79"/>
      <c r="D71" s="79"/>
      <c r="E71" s="79"/>
      <c r="F71" s="79"/>
      <c r="G71" s="9">
        <f t="shared" si="6"/>
        <v>0</v>
      </c>
      <c r="H71" s="80">
        <f t="shared" si="7"/>
        <v>0</v>
      </c>
      <c r="I71" s="93">
        <f>'2014'!C73+'2013'!C82+C71</f>
        <v>2</v>
      </c>
      <c r="J71" s="93">
        <f>'2014'!G73+'2013'!G82+G71</f>
        <v>15</v>
      </c>
      <c r="K71" s="81" t="e">
        <f t="shared" si="8"/>
        <v>#REF!</v>
      </c>
    </row>
    <row r="72" spans="1:11" ht="12.75">
      <c r="A72" s="79" t="s">
        <v>695</v>
      </c>
      <c r="B72" s="79" t="s">
        <v>696</v>
      </c>
      <c r="C72" s="79"/>
      <c r="D72" s="79"/>
      <c r="E72" s="79"/>
      <c r="F72" s="79"/>
      <c r="G72" s="9">
        <f t="shared" si="6"/>
        <v>0</v>
      </c>
      <c r="H72" s="80">
        <f t="shared" si="7"/>
        <v>0</v>
      </c>
      <c r="I72" s="93">
        <f>'2014'!C75</f>
        <v>1</v>
      </c>
      <c r="J72" s="93">
        <f>'2014'!G75</f>
        <v>5</v>
      </c>
      <c r="K72" s="81" t="e">
        <f t="shared" si="8"/>
        <v>#REF!</v>
      </c>
    </row>
    <row r="73" spans="1:11" ht="12.75">
      <c r="A73" s="79" t="s">
        <v>697</v>
      </c>
      <c r="B73" s="79" t="s">
        <v>698</v>
      </c>
      <c r="C73" s="79"/>
      <c r="D73" s="79"/>
      <c r="E73" s="79"/>
      <c r="F73" s="79"/>
      <c r="G73" s="9">
        <f t="shared" si="6"/>
        <v>0</v>
      </c>
      <c r="H73" s="80">
        <f t="shared" si="7"/>
        <v>0</v>
      </c>
      <c r="I73" s="93">
        <f>'2014'!C76+'2015'!C76+C73</f>
        <v>2</v>
      </c>
      <c r="J73" s="93">
        <f>'2014'!G76+'2015'!G76+G73</f>
        <v>12</v>
      </c>
      <c r="K73" s="81" t="e">
        <f t="shared" si="8"/>
        <v>#REF!</v>
      </c>
    </row>
    <row r="74" spans="1:11" ht="12.75">
      <c r="A74" s="79" t="s">
        <v>763</v>
      </c>
      <c r="B74" s="79" t="s">
        <v>764</v>
      </c>
      <c r="C74" s="79">
        <v>2</v>
      </c>
      <c r="D74" s="79"/>
      <c r="E74" s="79">
        <v>7</v>
      </c>
      <c r="F74" s="79">
        <v>9</v>
      </c>
      <c r="G74" s="9">
        <f t="shared" si="6"/>
        <v>16</v>
      </c>
      <c r="H74" s="80">
        <f t="shared" si="7"/>
        <v>0.05947955390334572</v>
      </c>
      <c r="I74" s="93">
        <f>C74</f>
        <v>2</v>
      </c>
      <c r="J74" s="93">
        <f>G74</f>
        <v>16</v>
      </c>
      <c r="K74" s="81" t="e">
        <f t="shared" si="8"/>
        <v>#REF!</v>
      </c>
    </row>
    <row r="75" spans="1:11" ht="12.75">
      <c r="A75" s="79"/>
      <c r="B75" s="79"/>
      <c r="C75" s="79"/>
      <c r="D75" s="79"/>
      <c r="E75" s="79"/>
      <c r="F75" s="79"/>
      <c r="G75" s="9"/>
      <c r="H75" s="80"/>
      <c r="I75" s="93"/>
      <c r="J75" s="93"/>
      <c r="K75" s="81"/>
    </row>
    <row r="76" spans="1:11" ht="12.75">
      <c r="A76" s="79"/>
      <c r="B76" s="79"/>
      <c r="C76" s="88"/>
      <c r="D76" s="79"/>
      <c r="E76" s="88"/>
      <c r="F76" s="88"/>
      <c r="G76" s="9"/>
      <c r="H76" s="80"/>
      <c r="I76" s="93"/>
      <c r="J76" s="93"/>
      <c r="K76" s="81"/>
    </row>
    <row r="77" spans="1:11" ht="12.75">
      <c r="A77" s="79"/>
      <c r="B77" s="79"/>
      <c r="C77" s="79"/>
      <c r="D77" s="79"/>
      <c r="E77" s="88"/>
      <c r="F77" s="88"/>
      <c r="G77" s="9"/>
      <c r="H77" s="80"/>
      <c r="I77" s="95"/>
      <c r="J77" s="93"/>
      <c r="K77" s="81"/>
    </row>
    <row r="78" spans="1:11" ht="12.75">
      <c r="A78" s="79" t="s">
        <v>531</v>
      </c>
      <c r="B78" s="79"/>
      <c r="C78" s="88"/>
      <c r="D78" s="79"/>
      <c r="E78" s="88">
        <f>SUM(E3:E74)</f>
        <v>147</v>
      </c>
      <c r="F78" s="88">
        <f>SUM(F3:F74)</f>
        <v>120</v>
      </c>
      <c r="G78" s="88">
        <f>SUM(G3:G74)</f>
        <v>267</v>
      </c>
      <c r="H78" s="80">
        <f>G78/$G$82</f>
        <v>0.9925650557620818</v>
      </c>
      <c r="J78" s="88" t="e">
        <f>SUM(J3:J74)</f>
        <v>#REF!</v>
      </c>
      <c r="K78" s="81" t="e">
        <f>J78/$J$82</f>
        <v>#REF!</v>
      </c>
    </row>
    <row r="79" spans="1:11" ht="12.75">
      <c r="A79" s="79"/>
      <c r="B79" s="79"/>
      <c r="C79" s="79"/>
      <c r="D79" s="79"/>
      <c r="E79" s="79"/>
      <c r="F79" s="79"/>
      <c r="G79" s="9"/>
      <c r="H79" s="80"/>
      <c r="I79" s="88"/>
      <c r="J79" s="95"/>
      <c r="K79" s="81"/>
    </row>
    <row r="80" spans="1:11" ht="12.75">
      <c r="A80" s="79" t="s">
        <v>462</v>
      </c>
      <c r="B80" s="79"/>
      <c r="C80" s="79">
        <v>2</v>
      </c>
      <c r="D80" s="79"/>
      <c r="E80" s="79">
        <v>2</v>
      </c>
      <c r="F80" s="89">
        <v>0</v>
      </c>
      <c r="G80" s="9">
        <v>2</v>
      </c>
      <c r="H80" s="80">
        <f>G80/$G$82</f>
        <v>0.007434944237918215</v>
      </c>
      <c r="I80" s="88"/>
      <c r="J80" s="93">
        <f>'2013'!G87+'2014'!G80+G80</f>
        <v>10</v>
      </c>
      <c r="K80" s="81" t="e">
        <f>J80/$J$82</f>
        <v>#REF!</v>
      </c>
    </row>
    <row r="81" spans="1:11" ht="12.75">
      <c r="A81" s="79"/>
      <c r="B81" s="79"/>
      <c r="C81" s="79"/>
      <c r="D81" s="79"/>
      <c r="E81" s="79"/>
      <c r="F81" s="79"/>
      <c r="H81" s="80"/>
      <c r="I81" s="88"/>
      <c r="J81" s="93"/>
      <c r="K81" s="81"/>
    </row>
    <row r="82" spans="1:11" ht="12.75">
      <c r="A82" s="79" t="s">
        <v>533</v>
      </c>
      <c r="B82" s="79"/>
      <c r="C82" s="91">
        <f>SUM(C3:C80)</f>
        <v>37</v>
      </c>
      <c r="D82" s="79"/>
      <c r="E82" s="79">
        <f>E78+E80</f>
        <v>149</v>
      </c>
      <c r="F82" s="88">
        <f>SUM(F3:F74)</f>
        <v>120</v>
      </c>
      <c r="G82" s="9">
        <f>SUM(G78+G80)</f>
        <v>269</v>
      </c>
      <c r="H82" s="80">
        <f>G82/$G$82</f>
        <v>1</v>
      </c>
      <c r="I82" s="88" t="e">
        <f>SUM(I3:I74)</f>
        <v>#REF!</v>
      </c>
      <c r="J82" s="93" t="e">
        <f>J78+J80</f>
        <v>#REF!</v>
      </c>
      <c r="K82" s="81" t="e">
        <f>J82/$J$82</f>
        <v>#REF!</v>
      </c>
    </row>
    <row r="83" spans="1:6" ht="12.75">
      <c r="A83" s="79"/>
      <c r="B83" s="79"/>
      <c r="C83" s="79"/>
      <c r="D83" s="79"/>
      <c r="E83" s="79"/>
      <c r="F83" s="79"/>
    </row>
    <row r="84" spans="1:6" ht="12.75">
      <c r="A84" s="79"/>
      <c r="B84" s="79"/>
      <c r="C84" s="79"/>
      <c r="D84" s="79"/>
      <c r="E84" s="79"/>
      <c r="F84" s="79"/>
    </row>
    <row r="85" spans="1:11" ht="12.75">
      <c r="A85" s="88" t="s">
        <v>6</v>
      </c>
      <c r="B85" s="79">
        <v>26</v>
      </c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12.75">
      <c r="A86" s="88" t="s">
        <v>7</v>
      </c>
      <c r="B86" s="88">
        <v>38</v>
      </c>
      <c r="C86" s="88"/>
      <c r="D86" s="88"/>
      <c r="E86" s="88"/>
      <c r="F86" s="88"/>
      <c r="G86" s="88"/>
      <c r="H86" s="88"/>
      <c r="I86" s="88"/>
      <c r="J86" s="88"/>
      <c r="K86" s="88"/>
    </row>
    <row r="87" spans="1:11" ht="12.75">
      <c r="A87" s="88" t="s">
        <v>563</v>
      </c>
      <c r="B87" s="90">
        <f>4*(B85*B86)/(B85+B86)</f>
        <v>61.75</v>
      </c>
      <c r="C87" s="88"/>
      <c r="D87" s="88"/>
      <c r="E87" s="88"/>
      <c r="F87" s="88"/>
      <c r="G87" s="88"/>
      <c r="H87" s="88"/>
      <c r="I87" s="88"/>
      <c r="J87" s="88"/>
      <c r="K87" s="88"/>
    </row>
    <row r="88" spans="1:1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1:11" ht="12.75">
      <c r="A89" s="88" t="s">
        <v>564</v>
      </c>
      <c r="B89" s="90">
        <f>(B87/B86)*50</f>
        <v>81.25</v>
      </c>
      <c r="C89" s="88"/>
      <c r="D89" s="88"/>
      <c r="E89" s="88"/>
      <c r="F89" s="88"/>
      <c r="G89" s="88"/>
      <c r="H89" s="88"/>
      <c r="I89" s="88"/>
      <c r="J89" s="88"/>
      <c r="K89" s="88"/>
    </row>
    <row r="90" spans="1:1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1:1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1:11" ht="12.75">
      <c r="A92" s="88" t="s">
        <v>534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1:1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1:11" ht="12.75">
      <c r="A94" s="88" t="s">
        <v>6</v>
      </c>
      <c r="B94" s="88">
        <f>'2013'!B91+'2014'!B84+'2015'!B87+'2016'!B91+B85</f>
        <v>140</v>
      </c>
      <c r="C94" s="88"/>
      <c r="D94" s="88"/>
      <c r="E94" s="88"/>
      <c r="F94" s="88"/>
      <c r="G94" s="88"/>
      <c r="H94" s="88"/>
      <c r="I94" s="88"/>
      <c r="J94" s="88"/>
      <c r="K94" s="88"/>
    </row>
    <row r="95" spans="1:11" ht="12.75">
      <c r="A95" s="88" t="s">
        <v>7</v>
      </c>
      <c r="B95" s="88">
        <f>'2013'!B92+'2014'!B85+B86+'2015'!B88+'2016'!B92+B86</f>
        <v>230</v>
      </c>
      <c r="C95" s="88"/>
      <c r="D95" s="88"/>
      <c r="E95" s="88"/>
      <c r="F95" s="88"/>
      <c r="G95" s="88"/>
      <c r="H95" s="88"/>
      <c r="I95" s="88"/>
      <c r="J95" s="88"/>
      <c r="K95" s="88"/>
    </row>
    <row r="96" spans="1:11" ht="12.75">
      <c r="A96" s="88" t="s">
        <v>563</v>
      </c>
      <c r="B96" s="90">
        <f>4*(B94*B95)/(B94+B95)</f>
        <v>348.1081081081081</v>
      </c>
      <c r="C96" s="88"/>
      <c r="D96" s="88"/>
      <c r="E96" s="88"/>
      <c r="F96" s="88"/>
      <c r="G96" s="88"/>
      <c r="H96" s="88"/>
      <c r="I96" s="88"/>
      <c r="J96" s="88"/>
      <c r="K96" s="88"/>
    </row>
    <row r="97" spans="1:1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1:11" ht="12.75">
      <c r="A98" s="88" t="s">
        <v>564</v>
      </c>
      <c r="B98" s="90">
        <f>(B96/B95)*50</f>
        <v>75.67567567567568</v>
      </c>
      <c r="C98" s="88"/>
      <c r="D98" s="88"/>
      <c r="E98" s="88"/>
      <c r="F98" s="88"/>
      <c r="G98" s="88"/>
      <c r="H98" s="88"/>
      <c r="I98" s="88"/>
      <c r="J98" s="88"/>
      <c r="K98" s="88"/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9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5" sqref="A15"/>
    </sheetView>
  </sheetViews>
  <sheetFormatPr defaultColWidth="11.57421875" defaultRowHeight="12.75"/>
  <cols>
    <col min="1" max="1" width="31.28125" style="0" customWidth="1"/>
    <col min="2" max="2" width="20.140625" style="0" customWidth="1"/>
    <col min="3" max="3" width="7.57421875" style="0" customWidth="1"/>
    <col min="4" max="4" width="0" style="0" hidden="1" customWidth="1"/>
    <col min="5" max="5" width="9.8515625" style="0" customWidth="1"/>
    <col min="6" max="6" width="9.140625" style="0" customWidth="1"/>
    <col min="7" max="7" width="7.7109375" style="0" customWidth="1"/>
    <col min="8" max="8" width="10.8515625" style="0" customWidth="1"/>
    <col min="9" max="9" width="7.140625" style="0" customWidth="1"/>
    <col min="10" max="10" width="9.7109375" style="0" customWidth="1"/>
  </cols>
  <sheetData>
    <row r="1" spans="1:12" ht="12.75" customHeight="1">
      <c r="A1" s="73" t="s">
        <v>0</v>
      </c>
      <c r="B1" s="74">
        <v>2018</v>
      </c>
      <c r="C1" s="106" t="s">
        <v>4</v>
      </c>
      <c r="D1" s="107" t="s">
        <v>368</v>
      </c>
      <c r="E1" s="106" t="s">
        <v>6</v>
      </c>
      <c r="F1" s="106" t="s">
        <v>7</v>
      </c>
      <c r="G1" s="73"/>
      <c r="H1" s="75"/>
      <c r="I1" s="106" t="s">
        <v>719</v>
      </c>
      <c r="J1" s="106" t="s">
        <v>720</v>
      </c>
      <c r="K1" s="109" t="s">
        <v>322</v>
      </c>
      <c r="L1" s="108" t="s">
        <v>13</v>
      </c>
    </row>
    <row r="2" spans="1:12" ht="17.25">
      <c r="A2" s="76" t="s">
        <v>431</v>
      </c>
      <c r="B2" s="76" t="s">
        <v>3</v>
      </c>
      <c r="C2" s="106"/>
      <c r="D2" s="107"/>
      <c r="E2" s="106"/>
      <c r="F2" s="106"/>
      <c r="G2" s="73" t="s">
        <v>8</v>
      </c>
      <c r="H2" s="75" t="s">
        <v>9</v>
      </c>
      <c r="I2" s="106"/>
      <c r="J2" s="106"/>
      <c r="K2" s="109"/>
      <c r="L2" s="108"/>
    </row>
    <row r="3" spans="1:11" ht="12.75">
      <c r="A3" s="79" t="s">
        <v>671</v>
      </c>
      <c r="B3" s="79" t="s">
        <v>672</v>
      </c>
      <c r="C3" s="79"/>
      <c r="D3" s="79"/>
      <c r="E3" s="79"/>
      <c r="F3" s="79"/>
      <c r="G3" s="9">
        <f aca="true" t="shared" si="0" ref="G3:G30">SUM(E3+F3)</f>
        <v>0</v>
      </c>
      <c r="H3" s="80">
        <f aca="true" t="shared" si="1" ref="H3:H34">G3/$G$80</f>
        <v>0</v>
      </c>
      <c r="I3" s="93">
        <f>'2017'!C4+C3</f>
        <v>1</v>
      </c>
      <c r="J3" s="93">
        <f>'2017'!G4+G3</f>
        <v>3</v>
      </c>
      <c r="K3" s="81" t="e">
        <f aca="true" t="shared" si="2" ref="K3:K34">J3/$J$80</f>
        <v>#REF!</v>
      </c>
    </row>
    <row r="4" spans="1:11" ht="12.75">
      <c r="A4" s="79" t="s">
        <v>677</v>
      </c>
      <c r="B4" s="79" t="s">
        <v>678</v>
      </c>
      <c r="C4" s="79"/>
      <c r="D4" s="79"/>
      <c r="E4" s="79"/>
      <c r="F4" s="79"/>
      <c r="G4" s="9">
        <f t="shared" si="0"/>
        <v>0</v>
      </c>
      <c r="H4" s="80">
        <f t="shared" si="1"/>
        <v>0</v>
      </c>
      <c r="I4" s="93">
        <f>'2014'!C5+'2016'!C5+C4</f>
        <v>3</v>
      </c>
      <c r="J4" s="93">
        <f>'2014'!J5+'2016'!G5+G4</f>
        <v>11</v>
      </c>
      <c r="K4" s="81" t="e">
        <f t="shared" si="2"/>
        <v>#REF!</v>
      </c>
    </row>
    <row r="5" spans="1:11" ht="12.75">
      <c r="A5" s="79" t="s">
        <v>635</v>
      </c>
      <c r="B5" s="79" t="s">
        <v>636</v>
      </c>
      <c r="C5" s="79"/>
      <c r="D5" s="79"/>
      <c r="E5" s="79"/>
      <c r="F5" s="79"/>
      <c r="G5" s="9">
        <f t="shared" si="0"/>
        <v>0</v>
      </c>
      <c r="H5" s="80">
        <f t="shared" si="1"/>
        <v>0</v>
      </c>
      <c r="I5" s="93">
        <f>'2014'!C6+'2015'!C6+C5</f>
        <v>2</v>
      </c>
      <c r="J5" s="93">
        <f>'2014'!G6+'2015'!G6+G5</f>
        <v>15</v>
      </c>
      <c r="K5" s="81" t="e">
        <f t="shared" si="2"/>
        <v>#REF!</v>
      </c>
    </row>
    <row r="6" spans="1:11" ht="12.75">
      <c r="A6" s="79" t="s">
        <v>765</v>
      </c>
      <c r="B6" s="79" t="s">
        <v>766</v>
      </c>
      <c r="C6" s="79">
        <v>1</v>
      </c>
      <c r="D6" s="79"/>
      <c r="E6" s="79">
        <v>1</v>
      </c>
      <c r="F6" s="79">
        <v>1</v>
      </c>
      <c r="G6" s="9">
        <f t="shared" si="0"/>
        <v>2</v>
      </c>
      <c r="H6" s="80">
        <f t="shared" si="1"/>
        <v>0.01</v>
      </c>
      <c r="I6" s="93">
        <f>'2014'!C7+'2015'!C8+C6</f>
        <v>1</v>
      </c>
      <c r="J6" s="93">
        <f>'2014'!G7+'2015'!G8+G6</f>
        <v>2</v>
      </c>
      <c r="K6" s="81" t="e">
        <f t="shared" si="2"/>
        <v>#REF!</v>
      </c>
    </row>
    <row r="7" spans="1:11" ht="12.75">
      <c r="A7" s="79" t="s">
        <v>699</v>
      </c>
      <c r="B7" s="79" t="s">
        <v>700</v>
      </c>
      <c r="C7" s="79"/>
      <c r="D7" s="79"/>
      <c r="E7" s="79"/>
      <c r="F7" s="79"/>
      <c r="G7" s="9">
        <f t="shared" si="0"/>
        <v>0</v>
      </c>
      <c r="H7" s="80">
        <f t="shared" si="1"/>
        <v>0</v>
      </c>
      <c r="I7" s="93" t="e">
        <f>'2016'!C7+C7+'2016'!#REF!</f>
        <v>#REF!</v>
      </c>
      <c r="J7" s="93" t="e">
        <f>'2016'!G7+G7+'2016'!#REF!</f>
        <v>#REF!</v>
      </c>
      <c r="K7" s="81" t="e">
        <f t="shared" si="2"/>
        <v>#REF!</v>
      </c>
    </row>
    <row r="8" spans="1:11" ht="12.75">
      <c r="A8" s="79" t="s">
        <v>679</v>
      </c>
      <c r="B8" s="79" t="s">
        <v>680</v>
      </c>
      <c r="C8" s="79"/>
      <c r="D8" s="79"/>
      <c r="E8" s="79"/>
      <c r="F8" s="79"/>
      <c r="G8" s="9">
        <f t="shared" si="0"/>
        <v>0</v>
      </c>
      <c r="H8" s="80">
        <f t="shared" si="1"/>
        <v>0</v>
      </c>
      <c r="I8" s="93">
        <f>'2014'!C8+C8</f>
        <v>1</v>
      </c>
      <c r="J8" s="93">
        <f>'2014'!G8+G8</f>
        <v>4</v>
      </c>
      <c r="K8" s="81" t="e">
        <f t="shared" si="2"/>
        <v>#REF!</v>
      </c>
    </row>
    <row r="9" spans="1:11" ht="12.75">
      <c r="A9" s="79" t="s">
        <v>721</v>
      </c>
      <c r="B9" s="79" t="s">
        <v>722</v>
      </c>
      <c r="C9" s="79"/>
      <c r="D9" s="79"/>
      <c r="E9" s="79"/>
      <c r="F9" s="79"/>
      <c r="G9" s="9">
        <f t="shared" si="0"/>
        <v>0</v>
      </c>
      <c r="H9" s="80">
        <f t="shared" si="1"/>
        <v>0</v>
      </c>
      <c r="I9" s="93">
        <f>'2016'!C9+C9</f>
        <v>1</v>
      </c>
      <c r="J9" s="93">
        <f>'2016'!G9+G9</f>
        <v>8</v>
      </c>
      <c r="K9" s="81" t="e">
        <f t="shared" si="2"/>
        <v>#REF!</v>
      </c>
    </row>
    <row r="10" spans="1:11" ht="12.75">
      <c r="A10" s="79" t="s">
        <v>723</v>
      </c>
      <c r="B10" s="79" t="s">
        <v>724</v>
      </c>
      <c r="C10" s="79">
        <v>1</v>
      </c>
      <c r="D10" s="79"/>
      <c r="E10" s="79">
        <v>2</v>
      </c>
      <c r="F10" s="79">
        <v>5</v>
      </c>
      <c r="G10" s="9">
        <f t="shared" si="0"/>
        <v>7</v>
      </c>
      <c r="H10" s="80">
        <f t="shared" si="1"/>
        <v>0.035</v>
      </c>
      <c r="I10" s="93">
        <f>'2016'!C11+C10</f>
        <v>3</v>
      </c>
      <c r="J10" s="93">
        <f>'2016'!G11+G10</f>
        <v>25</v>
      </c>
      <c r="K10" s="81" t="e">
        <f t="shared" si="2"/>
        <v>#REF!</v>
      </c>
    </row>
    <row r="11" spans="1:11" ht="12.75">
      <c r="A11" s="79" t="s">
        <v>754</v>
      </c>
      <c r="B11" s="79" t="s">
        <v>755</v>
      </c>
      <c r="C11" s="79">
        <v>1</v>
      </c>
      <c r="D11" s="79"/>
      <c r="E11" s="79">
        <v>3</v>
      </c>
      <c r="F11" s="79">
        <v>3</v>
      </c>
      <c r="G11" s="9">
        <f t="shared" si="0"/>
        <v>6</v>
      </c>
      <c r="H11" s="80">
        <f t="shared" si="1"/>
        <v>0.03</v>
      </c>
      <c r="I11" s="93">
        <f>'2017'!C12+C11</f>
        <v>3</v>
      </c>
      <c r="J11" s="93">
        <f>'2017'!G12+G11</f>
        <v>27</v>
      </c>
      <c r="K11" s="81" t="e">
        <f t="shared" si="2"/>
        <v>#REF!</v>
      </c>
    </row>
    <row r="12" spans="1:11" ht="12.75">
      <c r="A12" s="79" t="s">
        <v>725</v>
      </c>
      <c r="B12" s="79" t="s">
        <v>726</v>
      </c>
      <c r="C12" s="79"/>
      <c r="D12" s="79"/>
      <c r="E12" s="79"/>
      <c r="F12" s="79"/>
      <c r="G12" s="9">
        <f t="shared" si="0"/>
        <v>0</v>
      </c>
      <c r="H12" s="80">
        <f t="shared" si="1"/>
        <v>0</v>
      </c>
      <c r="I12" s="93">
        <f>'2016'!C12+'2017'!C13+C12</f>
        <v>2</v>
      </c>
      <c r="J12" s="93">
        <f>'2016'!G12+'2017'!G13+G12</f>
        <v>15</v>
      </c>
      <c r="K12" s="81" t="e">
        <f t="shared" si="2"/>
        <v>#REF!</v>
      </c>
    </row>
    <row r="13" spans="1:11" ht="12.75">
      <c r="A13" s="79" t="s">
        <v>624</v>
      </c>
      <c r="B13" s="79" t="s">
        <v>625</v>
      </c>
      <c r="C13" s="79"/>
      <c r="D13" s="79"/>
      <c r="E13" s="79"/>
      <c r="F13" s="79"/>
      <c r="G13" s="9">
        <f t="shared" si="0"/>
        <v>0</v>
      </c>
      <c r="H13" s="80">
        <f t="shared" si="1"/>
        <v>0</v>
      </c>
      <c r="I13" s="93">
        <f>'2014'!C11+'2015'!C11+C13</f>
        <v>3</v>
      </c>
      <c r="J13" s="93">
        <f>'2014'!G11+'2015'!G11+G13</f>
        <v>16</v>
      </c>
      <c r="K13" s="81" t="e">
        <f t="shared" si="2"/>
        <v>#REF!</v>
      </c>
    </row>
    <row r="14" spans="1:11" ht="12.75">
      <c r="A14" s="79" t="s">
        <v>602</v>
      </c>
      <c r="B14" s="79" t="s">
        <v>603</v>
      </c>
      <c r="C14" s="79"/>
      <c r="D14" s="79"/>
      <c r="E14" s="79"/>
      <c r="F14" s="79"/>
      <c r="G14" s="9">
        <f t="shared" si="0"/>
        <v>0</v>
      </c>
      <c r="H14" s="80">
        <f t="shared" si="1"/>
        <v>0</v>
      </c>
      <c r="I14" s="93">
        <f>'2015'!C12</f>
        <v>2</v>
      </c>
      <c r="J14" s="93">
        <f>'2015'!G12</f>
        <v>14</v>
      </c>
      <c r="K14" s="81" t="e">
        <f t="shared" si="2"/>
        <v>#REF!</v>
      </c>
    </row>
    <row r="15" spans="1:11" ht="12.75">
      <c r="A15" s="79" t="s">
        <v>571</v>
      </c>
      <c r="B15" s="79" t="s">
        <v>572</v>
      </c>
      <c r="C15" s="79"/>
      <c r="D15" s="79"/>
      <c r="E15" s="79"/>
      <c r="F15" s="79"/>
      <c r="G15" s="9">
        <f t="shared" si="0"/>
        <v>0</v>
      </c>
      <c r="H15" s="80">
        <f t="shared" si="1"/>
        <v>0</v>
      </c>
      <c r="I15" s="93">
        <f>'2016'!C12</f>
        <v>1</v>
      </c>
      <c r="J15" s="93">
        <f>'2016'!G15</f>
        <v>4</v>
      </c>
      <c r="K15" s="81" t="e">
        <f t="shared" si="2"/>
        <v>#REF!</v>
      </c>
    </row>
    <row r="16" spans="1:11" ht="12.75">
      <c r="A16" s="86" t="s">
        <v>639</v>
      </c>
      <c r="B16" s="79" t="s">
        <v>640</v>
      </c>
      <c r="C16" s="79"/>
      <c r="D16" s="79"/>
      <c r="E16" s="79"/>
      <c r="F16" s="79"/>
      <c r="G16" s="9">
        <f t="shared" si="0"/>
        <v>0</v>
      </c>
      <c r="H16" s="80">
        <f t="shared" si="1"/>
        <v>0</v>
      </c>
      <c r="I16" s="93">
        <f>'2014'!C17+C16</f>
        <v>3</v>
      </c>
      <c r="J16" s="93">
        <f>'2014'!G17+G16</f>
        <v>20</v>
      </c>
      <c r="K16" s="81" t="e">
        <f t="shared" si="2"/>
        <v>#REF!</v>
      </c>
    </row>
    <row r="17" spans="1:11" ht="12.75">
      <c r="A17" s="79" t="s">
        <v>641</v>
      </c>
      <c r="B17" s="79" t="s">
        <v>659</v>
      </c>
      <c r="C17" s="79"/>
      <c r="D17" s="79"/>
      <c r="E17" s="79"/>
      <c r="F17" s="79"/>
      <c r="G17" s="9">
        <f t="shared" si="0"/>
        <v>0</v>
      </c>
      <c r="H17" s="80">
        <f t="shared" si="1"/>
        <v>0</v>
      </c>
      <c r="I17" s="93">
        <f>'2014'!C18+'2015'!C15+'2017'!C18+C17</f>
        <v>4</v>
      </c>
      <c r="J17" s="93">
        <f>'2014'!G18+'2015'!G15+'2017'!G18+G17</f>
        <v>25</v>
      </c>
      <c r="K17" s="81" t="e">
        <f t="shared" si="2"/>
        <v>#REF!</v>
      </c>
    </row>
    <row r="18" spans="1:11" ht="12.75">
      <c r="A18" s="79" t="s">
        <v>727</v>
      </c>
      <c r="B18" s="79" t="s">
        <v>728</v>
      </c>
      <c r="C18" s="79">
        <v>1</v>
      </c>
      <c r="D18" s="79"/>
      <c r="E18" s="79">
        <v>4</v>
      </c>
      <c r="F18" s="79">
        <v>5</v>
      </c>
      <c r="G18" s="9">
        <f t="shared" si="0"/>
        <v>9</v>
      </c>
      <c r="H18" s="80">
        <f t="shared" si="1"/>
        <v>0.045</v>
      </c>
      <c r="I18" s="93">
        <f>'2016'!C18+'2017'!C19+C18</f>
        <v>3</v>
      </c>
      <c r="J18" s="93">
        <f>'2016'!G18+'2017'!G19+G18</f>
        <v>24</v>
      </c>
      <c r="K18" s="81" t="e">
        <f t="shared" si="2"/>
        <v>#REF!</v>
      </c>
    </row>
    <row r="19" spans="1:11" ht="12.75">
      <c r="A19" s="79" t="s">
        <v>756</v>
      </c>
      <c r="B19" s="79" t="s">
        <v>757</v>
      </c>
      <c r="C19" s="79"/>
      <c r="D19" s="79"/>
      <c r="E19" s="79"/>
      <c r="F19" s="79"/>
      <c r="G19" s="9">
        <f t="shared" si="0"/>
        <v>0</v>
      </c>
      <c r="H19" s="80">
        <f t="shared" si="1"/>
        <v>0</v>
      </c>
      <c r="I19" s="93">
        <f>'2016'!C19+'2017'!C20+C19</f>
        <v>1</v>
      </c>
      <c r="J19" s="93">
        <f>'2016'!G19+'2017'!G20+G19</f>
        <v>8</v>
      </c>
      <c r="K19" s="81" t="e">
        <f t="shared" si="2"/>
        <v>#REF!</v>
      </c>
    </row>
    <row r="20" spans="1:11" ht="12.75">
      <c r="A20" s="79" t="s">
        <v>767</v>
      </c>
      <c r="B20" s="79" t="s">
        <v>768</v>
      </c>
      <c r="C20" s="79">
        <v>1</v>
      </c>
      <c r="D20" s="79"/>
      <c r="E20" s="79">
        <v>4</v>
      </c>
      <c r="F20" s="79">
        <v>4</v>
      </c>
      <c r="G20" s="9">
        <f t="shared" si="0"/>
        <v>8</v>
      </c>
      <c r="H20" s="80">
        <f t="shared" si="1"/>
        <v>0.04</v>
      </c>
      <c r="I20" s="93">
        <v>1</v>
      </c>
      <c r="J20" s="93">
        <f>G20</f>
        <v>8</v>
      </c>
      <c r="K20" s="81" t="e">
        <f t="shared" si="2"/>
        <v>#REF!</v>
      </c>
    </row>
    <row r="21" spans="1:11" ht="12.75">
      <c r="A21" s="79" t="s">
        <v>769</v>
      </c>
      <c r="B21" s="79" t="s">
        <v>770</v>
      </c>
      <c r="C21" s="79">
        <v>2</v>
      </c>
      <c r="D21" s="79"/>
      <c r="E21" s="79">
        <v>10</v>
      </c>
      <c r="F21" s="79">
        <v>9</v>
      </c>
      <c r="G21" s="9">
        <f t="shared" si="0"/>
        <v>19</v>
      </c>
      <c r="H21" s="80">
        <f t="shared" si="1"/>
        <v>0.095</v>
      </c>
      <c r="I21" s="93">
        <f>'2016'!C21+'2017'!C22+C21</f>
        <v>2</v>
      </c>
      <c r="J21" s="93">
        <f>'2016'!G21+'2017'!G22+G21</f>
        <v>19</v>
      </c>
      <c r="K21" s="81" t="e">
        <f t="shared" si="2"/>
        <v>#REF!</v>
      </c>
    </row>
    <row r="22" spans="1:11" ht="12.75">
      <c r="A22" s="84" t="s">
        <v>643</v>
      </c>
      <c r="B22" s="79" t="s">
        <v>644</v>
      </c>
      <c r="C22" s="79"/>
      <c r="D22" s="79"/>
      <c r="E22" s="79"/>
      <c r="F22" s="79"/>
      <c r="G22" s="9">
        <f t="shared" si="0"/>
        <v>0</v>
      </c>
      <c r="H22" s="80">
        <f t="shared" si="1"/>
        <v>0</v>
      </c>
      <c r="I22" s="93">
        <f>'2014'!C21+'2015'!C18+'2017'!C21+C22</f>
        <v>6</v>
      </c>
      <c r="J22" s="93">
        <f>'2014'!G21+'2015'!G18+'2017'!G21+G22</f>
        <v>43</v>
      </c>
      <c r="K22" s="85" t="e">
        <f t="shared" si="2"/>
        <v>#REF!</v>
      </c>
    </row>
    <row r="23" spans="1:11" ht="12.75">
      <c r="A23" s="79" t="s">
        <v>606</v>
      </c>
      <c r="B23" s="79" t="s">
        <v>607</v>
      </c>
      <c r="C23" s="79"/>
      <c r="D23" s="79"/>
      <c r="E23" s="79"/>
      <c r="F23" s="79"/>
      <c r="G23" s="9">
        <f t="shared" si="0"/>
        <v>0</v>
      </c>
      <c r="H23" s="80">
        <f t="shared" si="1"/>
        <v>0</v>
      </c>
      <c r="I23" s="93">
        <f>'2014'!C22+C23</f>
        <v>1</v>
      </c>
      <c r="J23" s="93">
        <f>'2014'!G22+G23</f>
        <v>7</v>
      </c>
      <c r="K23" s="81" t="e">
        <f t="shared" si="2"/>
        <v>#REF!</v>
      </c>
    </row>
    <row r="24" spans="1:11" ht="12.75">
      <c r="A24" s="86" t="s">
        <v>660</v>
      </c>
      <c r="B24" s="79" t="s">
        <v>661</v>
      </c>
      <c r="C24" s="79"/>
      <c r="D24" s="79"/>
      <c r="E24" s="79"/>
      <c r="F24" s="79"/>
      <c r="G24" s="9">
        <f t="shared" si="0"/>
        <v>0</v>
      </c>
      <c r="H24" s="80">
        <f t="shared" si="1"/>
        <v>0</v>
      </c>
      <c r="I24" s="93">
        <f>'2014'!C23+'2015'!C20+'2017'!C23+C24</f>
        <v>5</v>
      </c>
      <c r="J24" s="93">
        <f>'2014'!G23+'2015'!G20+'2017'!G23+G24</f>
        <v>34</v>
      </c>
      <c r="K24" s="94" t="e">
        <f t="shared" si="2"/>
        <v>#REF!</v>
      </c>
    </row>
    <row r="25" spans="1:11" ht="12.75">
      <c r="A25" s="86" t="s">
        <v>771</v>
      </c>
      <c r="B25" s="79" t="s">
        <v>772</v>
      </c>
      <c r="C25" s="79">
        <v>1</v>
      </c>
      <c r="D25" s="79"/>
      <c r="E25" s="79">
        <v>2</v>
      </c>
      <c r="F25" s="79">
        <v>6</v>
      </c>
      <c r="G25" s="9">
        <f t="shared" si="0"/>
        <v>8</v>
      </c>
      <c r="H25" s="80">
        <f t="shared" si="1"/>
        <v>0.04</v>
      </c>
      <c r="I25" s="93">
        <f>'2014'!C24+'2015'!C21+'2017'!C24+C25</f>
        <v>1</v>
      </c>
      <c r="J25" s="93">
        <f>'2014'!G24+'2015'!G21+'2017'!G24+G25</f>
        <v>8</v>
      </c>
      <c r="K25" s="94" t="e">
        <f t="shared" si="2"/>
        <v>#REF!</v>
      </c>
    </row>
    <row r="26" spans="1:11" ht="12.75">
      <c r="A26" s="79" t="s">
        <v>626</v>
      </c>
      <c r="B26" s="79" t="s">
        <v>627</v>
      </c>
      <c r="C26" s="79"/>
      <c r="D26" s="79"/>
      <c r="E26" s="79"/>
      <c r="F26" s="79"/>
      <c r="G26" s="9">
        <f t="shared" si="0"/>
        <v>0</v>
      </c>
      <c r="H26" s="80">
        <f t="shared" si="1"/>
        <v>0</v>
      </c>
      <c r="I26" s="93">
        <f>'2015'!C22+'2016'!C22+C26</f>
        <v>2</v>
      </c>
      <c r="J26" s="93">
        <f>'2015'!G22+'2016'!G22+G26</f>
        <v>19</v>
      </c>
      <c r="K26" s="81" t="e">
        <f t="shared" si="2"/>
        <v>#REF!</v>
      </c>
    </row>
    <row r="27" spans="1:11" ht="12.75">
      <c r="A27" s="79" t="s">
        <v>662</v>
      </c>
      <c r="B27" s="79" t="s">
        <v>663</v>
      </c>
      <c r="C27" s="79"/>
      <c r="D27" s="79"/>
      <c r="E27" s="79"/>
      <c r="F27" s="79"/>
      <c r="G27" s="9">
        <f t="shared" si="0"/>
        <v>0</v>
      </c>
      <c r="H27" s="80">
        <f t="shared" si="1"/>
        <v>0</v>
      </c>
      <c r="I27" s="93">
        <f>'2014'!C27+'2015'!C24+'2017'!C25+C27</f>
        <v>4</v>
      </c>
      <c r="J27" s="93">
        <f>'2014'!G27+'2015'!G24+'2017'!G25+G27</f>
        <v>32</v>
      </c>
      <c r="K27" s="81" t="e">
        <f t="shared" si="2"/>
        <v>#REF!</v>
      </c>
    </row>
    <row r="28" spans="1:11" ht="12.75">
      <c r="A28" s="79" t="s">
        <v>701</v>
      </c>
      <c r="B28" s="79" t="s">
        <v>702</v>
      </c>
      <c r="C28" s="79"/>
      <c r="D28" s="79"/>
      <c r="E28" s="79"/>
      <c r="F28" s="79"/>
      <c r="G28" s="9">
        <f t="shared" si="0"/>
        <v>0</v>
      </c>
      <c r="H28" s="80">
        <f t="shared" si="1"/>
        <v>0</v>
      </c>
      <c r="I28" s="93">
        <f>'2015'!C25+'2016'!C25+C28</f>
        <v>2</v>
      </c>
      <c r="J28" s="93">
        <f>'2015'!G25+'2016'!G25+G28</f>
        <v>19</v>
      </c>
      <c r="K28" s="81" t="e">
        <f t="shared" si="2"/>
        <v>#REF!</v>
      </c>
    </row>
    <row r="29" spans="1:11" ht="12.75">
      <c r="A29" s="79" t="s">
        <v>681</v>
      </c>
      <c r="B29" s="79" t="s">
        <v>682</v>
      </c>
      <c r="C29" s="79"/>
      <c r="D29" s="79"/>
      <c r="E29" s="79"/>
      <c r="F29" s="79"/>
      <c r="G29" s="9">
        <f t="shared" si="0"/>
        <v>0</v>
      </c>
      <c r="H29" s="80">
        <f t="shared" si="1"/>
        <v>0</v>
      </c>
      <c r="I29" s="93">
        <f>'2014'!C29+'2015'!C26+C29</f>
        <v>3</v>
      </c>
      <c r="J29" s="93">
        <f>'2014'!G29+'2015'!G26+G29</f>
        <v>25</v>
      </c>
      <c r="K29" s="81" t="e">
        <f t="shared" si="2"/>
        <v>#REF!</v>
      </c>
    </row>
    <row r="30" spans="1:11" ht="12.75">
      <c r="A30" s="79" t="s">
        <v>703</v>
      </c>
      <c r="B30" s="79" t="s">
        <v>704</v>
      </c>
      <c r="C30" s="79"/>
      <c r="D30" s="79"/>
      <c r="E30" s="79"/>
      <c r="F30" s="79"/>
      <c r="G30" s="9">
        <f t="shared" si="0"/>
        <v>0</v>
      </c>
      <c r="H30" s="80">
        <f t="shared" si="1"/>
        <v>0</v>
      </c>
      <c r="I30" s="93">
        <f>'2015'!C27+C30</f>
        <v>1</v>
      </c>
      <c r="J30" s="93">
        <f>'2015'!G27+G30</f>
        <v>7</v>
      </c>
      <c r="K30" s="81" t="e">
        <f t="shared" si="2"/>
        <v>#REF!</v>
      </c>
    </row>
    <row r="31" spans="1:11" ht="12.75">
      <c r="A31" s="79" t="s">
        <v>729</v>
      </c>
      <c r="B31" s="79" t="s">
        <v>706</v>
      </c>
      <c r="C31" s="79"/>
      <c r="D31" s="79"/>
      <c r="E31" s="79"/>
      <c r="F31" s="79"/>
      <c r="G31" s="9">
        <v>0</v>
      </c>
      <c r="H31" s="80">
        <f t="shared" si="1"/>
        <v>0</v>
      </c>
      <c r="I31" s="93">
        <f>'2015'!I29+C31</f>
        <v>1</v>
      </c>
      <c r="J31" s="93">
        <f>'2015'!J29+G31</f>
        <v>6</v>
      </c>
      <c r="K31" s="81" t="e">
        <f t="shared" si="2"/>
        <v>#REF!</v>
      </c>
    </row>
    <row r="32" spans="1:11" ht="12.75">
      <c r="A32" s="79" t="s">
        <v>707</v>
      </c>
      <c r="B32" s="79" t="s">
        <v>708</v>
      </c>
      <c r="C32" s="79"/>
      <c r="D32" s="79"/>
      <c r="E32" s="79"/>
      <c r="F32" s="79"/>
      <c r="G32" s="9">
        <f aca="true" t="shared" si="3" ref="G32:G54">SUM(E32+F32)</f>
        <v>0</v>
      </c>
      <c r="H32" s="80">
        <f t="shared" si="1"/>
        <v>0</v>
      </c>
      <c r="I32" s="93">
        <f>'2015'!C30+C32</f>
        <v>1</v>
      </c>
      <c r="J32" s="93">
        <f>'2015'!G30+G32</f>
        <v>9</v>
      </c>
      <c r="K32" s="81" t="e">
        <f t="shared" si="2"/>
        <v>#REF!</v>
      </c>
    </row>
    <row r="33" spans="1:11" ht="12.75">
      <c r="A33" s="79" t="s">
        <v>683</v>
      </c>
      <c r="B33" s="79" t="s">
        <v>684</v>
      </c>
      <c r="C33" s="79"/>
      <c r="D33" s="79"/>
      <c r="E33" s="79"/>
      <c r="F33" s="79"/>
      <c r="G33" s="9">
        <f t="shared" si="3"/>
        <v>0</v>
      </c>
      <c r="H33" s="80">
        <f t="shared" si="1"/>
        <v>0</v>
      </c>
      <c r="I33" s="93">
        <f>'2014'!C31+C33</f>
        <v>1</v>
      </c>
      <c r="J33" s="93">
        <f>'2014'!G31+G33</f>
        <v>9</v>
      </c>
      <c r="K33" s="81" t="e">
        <f t="shared" si="2"/>
        <v>#REF!</v>
      </c>
    </row>
    <row r="34" spans="1:11" ht="12.75">
      <c r="A34" s="79" t="s">
        <v>758</v>
      </c>
      <c r="B34" s="79" t="s">
        <v>759</v>
      </c>
      <c r="C34" s="79"/>
      <c r="D34" s="79"/>
      <c r="E34" s="79"/>
      <c r="F34" s="79"/>
      <c r="G34" s="9">
        <f t="shared" si="3"/>
        <v>0</v>
      </c>
      <c r="H34" s="80">
        <f t="shared" si="1"/>
        <v>0</v>
      </c>
      <c r="I34" s="93">
        <f>'2017'!C32+C34</f>
        <v>1</v>
      </c>
      <c r="J34" s="93">
        <f>'2017'!G32+G34</f>
        <v>4</v>
      </c>
      <c r="K34" s="81" t="e">
        <f t="shared" si="2"/>
        <v>#REF!</v>
      </c>
    </row>
    <row r="35" spans="1:11" ht="12.75">
      <c r="A35" s="79" t="s">
        <v>730</v>
      </c>
      <c r="B35" s="79" t="s">
        <v>731</v>
      </c>
      <c r="C35" s="79"/>
      <c r="D35" s="79"/>
      <c r="E35" s="79"/>
      <c r="F35" s="79"/>
      <c r="G35" s="9">
        <f t="shared" si="3"/>
        <v>0</v>
      </c>
      <c r="H35" s="80">
        <f aca="true" t="shared" si="4" ref="H35:H66">G35/$G$80</f>
        <v>0</v>
      </c>
      <c r="I35" s="93">
        <f>'2016'!C31+'2017'!C33+C35</f>
        <v>3</v>
      </c>
      <c r="J35" s="93">
        <f>'2016'!G31+'2017'!G33+G35</f>
        <v>21</v>
      </c>
      <c r="K35" s="81" t="e">
        <f aca="true" t="shared" si="5" ref="K35:K66">J35/$J$80</f>
        <v>#REF!</v>
      </c>
    </row>
    <row r="36" spans="1:11" ht="12.75">
      <c r="A36" s="84" t="s">
        <v>693</v>
      </c>
      <c r="B36" s="79" t="s">
        <v>694</v>
      </c>
      <c r="C36" s="79">
        <v>1</v>
      </c>
      <c r="D36" s="79"/>
      <c r="E36" s="79">
        <v>2</v>
      </c>
      <c r="F36" s="79">
        <v>2</v>
      </c>
      <c r="G36" s="9">
        <f t="shared" si="3"/>
        <v>4</v>
      </c>
      <c r="H36" s="80">
        <f t="shared" si="4"/>
        <v>0.02</v>
      </c>
      <c r="I36" s="93">
        <f>'2014'!C72+'2015'!C72+'2016'!C32+'2017'!C34+C36</f>
        <v>7</v>
      </c>
      <c r="J36" s="93">
        <f>'2014'!G72+'2015'!G72+'2016'!G32+'2017'!G34+G36</f>
        <v>59</v>
      </c>
      <c r="K36" s="85" t="e">
        <f t="shared" si="5"/>
        <v>#REF!</v>
      </c>
    </row>
    <row r="37" spans="1:11" ht="12.75">
      <c r="A37" s="79" t="s">
        <v>709</v>
      </c>
      <c r="B37" s="79" t="s">
        <v>710</v>
      </c>
      <c r="C37" s="79">
        <v>1</v>
      </c>
      <c r="D37" s="79"/>
      <c r="E37" s="79">
        <v>4</v>
      </c>
      <c r="F37" s="79">
        <v>6</v>
      </c>
      <c r="G37" s="9">
        <f t="shared" si="3"/>
        <v>10</v>
      </c>
      <c r="H37" s="80">
        <f t="shared" si="4"/>
        <v>0.05</v>
      </c>
      <c r="I37" s="93">
        <f>'2015'!C32+'2016'!C33+'2017'!C35+C37</f>
        <v>4</v>
      </c>
      <c r="J37" s="93">
        <f>'2015'!G32+'2016'!G33+'2017'!G35+G37</f>
        <v>37</v>
      </c>
      <c r="K37" s="81" t="e">
        <f t="shared" si="5"/>
        <v>#REF!</v>
      </c>
    </row>
    <row r="38" spans="1:11" ht="12.75">
      <c r="A38" s="79" t="s">
        <v>711</v>
      </c>
      <c r="B38" s="79" t="s">
        <v>712</v>
      </c>
      <c r="C38" s="79"/>
      <c r="D38" s="79"/>
      <c r="E38" s="79"/>
      <c r="F38" s="79"/>
      <c r="G38" s="9">
        <f t="shared" si="3"/>
        <v>0</v>
      </c>
      <c r="H38" s="80">
        <f t="shared" si="4"/>
        <v>0</v>
      </c>
      <c r="I38" s="93">
        <f>'2015'!C35+C38</f>
        <v>1</v>
      </c>
      <c r="J38" s="93">
        <f>'2015'!G35+G38</f>
        <v>8</v>
      </c>
      <c r="K38" s="81" t="e">
        <f t="shared" si="5"/>
        <v>#REF!</v>
      </c>
    </row>
    <row r="39" spans="1:11" ht="12.75">
      <c r="A39" s="86" t="s">
        <v>631</v>
      </c>
      <c r="B39" s="79" t="s">
        <v>632</v>
      </c>
      <c r="C39" s="79"/>
      <c r="D39" s="79"/>
      <c r="E39" s="79"/>
      <c r="F39" s="79"/>
      <c r="G39" s="9">
        <f t="shared" si="3"/>
        <v>0</v>
      </c>
      <c r="H39" s="80">
        <f t="shared" si="4"/>
        <v>0</v>
      </c>
      <c r="I39" s="93">
        <f>'2014'!C37+'2015'!C37+'2016'!C37</f>
        <v>5</v>
      </c>
      <c r="J39" s="93">
        <f>'2014'!G37+'2015'!G37+'2016'!G37</f>
        <v>37</v>
      </c>
      <c r="K39" s="81" t="e">
        <f t="shared" si="5"/>
        <v>#REF!</v>
      </c>
    </row>
    <row r="40" spans="1:11" ht="12.75">
      <c r="A40" s="79" t="s">
        <v>732</v>
      </c>
      <c r="B40" s="79" t="s">
        <v>733</v>
      </c>
      <c r="C40" s="79">
        <v>1</v>
      </c>
      <c r="D40" s="79"/>
      <c r="E40" s="79">
        <v>1</v>
      </c>
      <c r="F40" s="79">
        <v>8</v>
      </c>
      <c r="G40" s="9">
        <f t="shared" si="3"/>
        <v>9</v>
      </c>
      <c r="H40" s="80">
        <f t="shared" si="4"/>
        <v>0.045</v>
      </c>
      <c r="I40" s="93">
        <f>'2016'!C39+'2017'!C39+C40</f>
        <v>3</v>
      </c>
      <c r="J40" s="93">
        <f>'2016'!G39+'2017'!G39+G40</f>
        <v>22</v>
      </c>
      <c r="K40" s="81" t="e">
        <f t="shared" si="5"/>
        <v>#REF!</v>
      </c>
    </row>
    <row r="41" spans="1:11" ht="12.75">
      <c r="A41" s="79" t="s">
        <v>734</v>
      </c>
      <c r="B41" s="79" t="s">
        <v>735</v>
      </c>
      <c r="C41" s="79">
        <v>1</v>
      </c>
      <c r="D41" s="79"/>
      <c r="E41" s="79">
        <v>4</v>
      </c>
      <c r="F41" s="79">
        <v>5</v>
      </c>
      <c r="G41" s="9">
        <f t="shared" si="3"/>
        <v>9</v>
      </c>
      <c r="H41" s="80">
        <f t="shared" si="4"/>
        <v>0.045</v>
      </c>
      <c r="I41" s="93">
        <f>'2016'!C40+'2017'!C40+C41</f>
        <v>3</v>
      </c>
      <c r="J41" s="93">
        <f>'2016'!G40+'2017'!G40+G41</f>
        <v>27</v>
      </c>
      <c r="K41" s="81" t="e">
        <f t="shared" si="5"/>
        <v>#REF!</v>
      </c>
    </row>
    <row r="42" spans="1:11" ht="12.75">
      <c r="A42" s="79" t="s">
        <v>715</v>
      </c>
      <c r="B42" s="79" t="s">
        <v>736</v>
      </c>
      <c r="C42" s="79"/>
      <c r="D42" s="79"/>
      <c r="E42" s="79"/>
      <c r="F42" s="79"/>
      <c r="G42" s="9">
        <f t="shared" si="3"/>
        <v>0</v>
      </c>
      <c r="H42" s="80">
        <f t="shared" si="4"/>
        <v>0</v>
      </c>
      <c r="I42" s="93">
        <f>'2015'!C41+C42</f>
        <v>1</v>
      </c>
      <c r="J42" s="93">
        <f>'2015'!G41+G42</f>
        <v>6</v>
      </c>
      <c r="K42" s="81" t="e">
        <f t="shared" si="5"/>
        <v>#REF!</v>
      </c>
    </row>
    <row r="43" spans="1:12" ht="12.75">
      <c r="A43" s="84" t="s">
        <v>150</v>
      </c>
      <c r="B43" s="79" t="s">
        <v>668</v>
      </c>
      <c r="C43" s="79"/>
      <c r="D43" s="79"/>
      <c r="E43" s="79"/>
      <c r="F43" s="79"/>
      <c r="G43" s="9">
        <f t="shared" si="3"/>
        <v>0</v>
      </c>
      <c r="H43" s="80">
        <f t="shared" si="4"/>
        <v>0</v>
      </c>
      <c r="I43" s="93">
        <f>'2014'!C40+'2015'!C42+'2016'!C43+'2017'!C43+C43</f>
        <v>7</v>
      </c>
      <c r="J43" s="93">
        <f>'2014'!G40+'2015'!G42+'2016'!G43+'2017'!G43+G43</f>
        <v>56</v>
      </c>
      <c r="K43" s="85" t="e">
        <f t="shared" si="5"/>
        <v>#REF!</v>
      </c>
      <c r="L43" t="s">
        <v>773</v>
      </c>
    </row>
    <row r="44" spans="1:11" ht="12.75">
      <c r="A44" s="79" t="s">
        <v>737</v>
      </c>
      <c r="B44" s="79" t="s">
        <v>738</v>
      </c>
      <c r="C44" s="79"/>
      <c r="D44" s="79"/>
      <c r="E44" s="79"/>
      <c r="F44" s="79"/>
      <c r="G44" s="9">
        <f t="shared" si="3"/>
        <v>0</v>
      </c>
      <c r="H44" s="80">
        <f t="shared" si="4"/>
        <v>0</v>
      </c>
      <c r="I44" s="93">
        <f>'2016'!C46+C44</f>
        <v>1</v>
      </c>
      <c r="J44" s="93">
        <f>'2016'!G46+G44</f>
        <v>7</v>
      </c>
      <c r="K44" s="81" t="e">
        <f t="shared" si="5"/>
        <v>#REF!</v>
      </c>
    </row>
    <row r="45" spans="1:11" ht="12.75">
      <c r="A45" s="79" t="s">
        <v>774</v>
      </c>
      <c r="B45" s="79" t="s">
        <v>775</v>
      </c>
      <c r="C45" s="79">
        <v>1</v>
      </c>
      <c r="D45" s="79"/>
      <c r="E45" s="79">
        <v>4</v>
      </c>
      <c r="F45" s="79">
        <v>2</v>
      </c>
      <c r="G45" s="9">
        <f t="shared" si="3"/>
        <v>6</v>
      </c>
      <c r="H45" s="80">
        <f t="shared" si="4"/>
        <v>0.03</v>
      </c>
      <c r="I45" s="93">
        <f>'2016'!C47+C45</f>
        <v>1</v>
      </c>
      <c r="J45" s="93">
        <f>'2016'!G47+G45</f>
        <v>6</v>
      </c>
      <c r="K45" s="81" t="e">
        <f t="shared" si="5"/>
        <v>#REF!</v>
      </c>
    </row>
    <row r="46" spans="1:11" ht="12.75">
      <c r="A46" s="79" t="s">
        <v>669</v>
      </c>
      <c r="B46" s="79" t="s">
        <v>670</v>
      </c>
      <c r="C46" s="79"/>
      <c r="D46" s="79"/>
      <c r="E46" s="79"/>
      <c r="F46" s="79"/>
      <c r="G46" s="9">
        <f t="shared" si="3"/>
        <v>0</v>
      </c>
      <c r="H46" s="80">
        <f t="shared" si="4"/>
        <v>0</v>
      </c>
      <c r="I46" s="93">
        <f>'2016'!C48+C46</f>
        <v>0</v>
      </c>
      <c r="J46" s="93">
        <f>'2014'!G45+'2015'!G47+'2016'!G46+G46</f>
        <v>29</v>
      </c>
      <c r="K46" s="81" t="e">
        <f t="shared" si="5"/>
        <v>#REF!</v>
      </c>
    </row>
    <row r="47" spans="1:11" ht="12.75">
      <c r="A47" s="79" t="s">
        <v>633</v>
      </c>
      <c r="B47" s="79" t="s">
        <v>634</v>
      </c>
      <c r="C47" s="79"/>
      <c r="D47" s="79"/>
      <c r="E47" s="79"/>
      <c r="F47" s="79"/>
      <c r="G47" s="9">
        <f t="shared" si="3"/>
        <v>0</v>
      </c>
      <c r="H47" s="80">
        <f t="shared" si="4"/>
        <v>0</v>
      </c>
      <c r="I47" s="93">
        <f>'2014'!C46+'2016'!C49+C47</f>
        <v>1</v>
      </c>
      <c r="J47" s="93">
        <f>'2014'!G46+G47</f>
        <v>7</v>
      </c>
      <c r="K47" s="81" t="e">
        <f t="shared" si="5"/>
        <v>#REF!</v>
      </c>
    </row>
    <row r="48" spans="1:12" ht="12.75">
      <c r="A48" s="82" t="s">
        <v>588</v>
      </c>
      <c r="B48" s="79" t="s">
        <v>589</v>
      </c>
      <c r="C48" s="79"/>
      <c r="D48" s="79"/>
      <c r="E48" s="79"/>
      <c r="F48" s="79"/>
      <c r="G48" s="9">
        <f t="shared" si="3"/>
        <v>0</v>
      </c>
      <c r="H48" s="80">
        <f t="shared" si="4"/>
        <v>0</v>
      </c>
      <c r="I48" s="93">
        <f>'2017'!C49+'2016'!C50+'2015'!C50+'2014'!C48</f>
        <v>5</v>
      </c>
      <c r="J48" s="93">
        <f>'2014'!G48+'2015'!G50+'2016'!G50</f>
        <v>43</v>
      </c>
      <c r="K48" s="83" t="e">
        <f t="shared" si="5"/>
        <v>#REF!</v>
      </c>
      <c r="L48" t="s">
        <v>776</v>
      </c>
    </row>
    <row r="49" spans="1:11" ht="12.75">
      <c r="A49" s="86" t="s">
        <v>740</v>
      </c>
      <c r="B49" s="79" t="s">
        <v>741</v>
      </c>
      <c r="C49" s="79">
        <v>1</v>
      </c>
      <c r="D49" s="79"/>
      <c r="E49" s="79">
        <v>4</v>
      </c>
      <c r="F49" s="79">
        <v>4</v>
      </c>
      <c r="G49" s="9">
        <f t="shared" si="3"/>
        <v>8</v>
      </c>
      <c r="H49" s="80">
        <f t="shared" si="4"/>
        <v>0.04</v>
      </c>
      <c r="I49" s="93">
        <f>'2016'!C51+C49</f>
        <v>2</v>
      </c>
      <c r="J49" s="93">
        <f>'2016'!G51+G49</f>
        <v>16</v>
      </c>
      <c r="K49" s="81" t="e">
        <f t="shared" si="5"/>
        <v>#REF!</v>
      </c>
    </row>
    <row r="50" spans="1:11" ht="12.75">
      <c r="A50" s="84" t="s">
        <v>685</v>
      </c>
      <c r="B50" s="79" t="s">
        <v>686</v>
      </c>
      <c r="C50" s="79">
        <v>2</v>
      </c>
      <c r="D50" s="79"/>
      <c r="E50" s="79">
        <v>4</v>
      </c>
      <c r="F50" s="79">
        <v>12</v>
      </c>
      <c r="G50" s="9">
        <f t="shared" si="3"/>
        <v>16</v>
      </c>
      <c r="H50" s="80">
        <f t="shared" si="4"/>
        <v>0.08</v>
      </c>
      <c r="I50" s="93">
        <f>'2016'!C52+C50</f>
        <v>3</v>
      </c>
      <c r="J50" s="93">
        <f>'2014'!G49+'2015'!G51+'2016'!G52+'2017'!G51+G50</f>
        <v>63</v>
      </c>
      <c r="K50" s="85" t="e">
        <f t="shared" si="5"/>
        <v>#REF!</v>
      </c>
    </row>
    <row r="51" spans="1:11" ht="12.75">
      <c r="A51" s="84" t="s">
        <v>742</v>
      </c>
      <c r="B51" s="79" t="s">
        <v>743</v>
      </c>
      <c r="C51" s="79">
        <v>3</v>
      </c>
      <c r="D51" s="79"/>
      <c r="E51" s="79">
        <v>11</v>
      </c>
      <c r="F51" s="79">
        <v>11</v>
      </c>
      <c r="G51" s="9">
        <f t="shared" si="3"/>
        <v>22</v>
      </c>
      <c r="H51" s="80">
        <f t="shared" si="4"/>
        <v>0.11</v>
      </c>
      <c r="I51" s="93">
        <f>'2016'!C53+C51</f>
        <v>5</v>
      </c>
      <c r="J51" s="93">
        <f>'2016'!G53+'2017'!G52+G51</f>
        <v>64</v>
      </c>
      <c r="K51" s="85" t="e">
        <f t="shared" si="5"/>
        <v>#REF!</v>
      </c>
    </row>
    <row r="52" spans="1:11" ht="12.75">
      <c r="A52" s="79" t="s">
        <v>744</v>
      </c>
      <c r="B52" s="79" t="s">
        <v>745</v>
      </c>
      <c r="C52" s="79">
        <v>2</v>
      </c>
      <c r="D52" s="79"/>
      <c r="E52" s="79">
        <v>11</v>
      </c>
      <c r="F52" s="79">
        <v>4</v>
      </c>
      <c r="G52" s="9">
        <f t="shared" si="3"/>
        <v>15</v>
      </c>
      <c r="H52" s="80">
        <f t="shared" si="4"/>
        <v>0.075</v>
      </c>
      <c r="I52" s="93">
        <f>'2016'!C55+'2017'!C53+C52</f>
        <v>6</v>
      </c>
      <c r="J52" s="93">
        <f>'2016'!G55+'2017'!G53+G52</f>
        <v>46</v>
      </c>
      <c r="K52" s="81" t="e">
        <f t="shared" si="5"/>
        <v>#REF!</v>
      </c>
    </row>
    <row r="53" spans="1:11" ht="12.75">
      <c r="A53" s="79" t="s">
        <v>760</v>
      </c>
      <c r="B53" s="79" t="s">
        <v>761</v>
      </c>
      <c r="C53" s="79"/>
      <c r="D53" s="79"/>
      <c r="E53" s="79"/>
      <c r="F53" s="79"/>
      <c r="G53" s="9">
        <f t="shared" si="3"/>
        <v>0</v>
      </c>
      <c r="H53" s="80">
        <f t="shared" si="4"/>
        <v>0</v>
      </c>
      <c r="I53" s="93">
        <f>'2016'!C55+C53</f>
        <v>2</v>
      </c>
      <c r="J53" s="93">
        <f>'2016'!G56+'2017'!G54+G53</f>
        <v>9</v>
      </c>
      <c r="K53" s="81" t="e">
        <f t="shared" si="5"/>
        <v>#REF!</v>
      </c>
    </row>
    <row r="54" spans="1:11" ht="12.75">
      <c r="A54" s="79" t="s">
        <v>777</v>
      </c>
      <c r="B54" s="79" t="s">
        <v>778</v>
      </c>
      <c r="C54" s="79">
        <v>3</v>
      </c>
      <c r="D54" s="79"/>
      <c r="E54" s="79">
        <v>15</v>
      </c>
      <c r="F54" s="79">
        <v>8</v>
      </c>
      <c r="G54" s="9">
        <f t="shared" si="3"/>
        <v>23</v>
      </c>
      <c r="H54" s="80">
        <f t="shared" si="4"/>
        <v>0.115</v>
      </c>
      <c r="I54" s="93">
        <f>'2016'!C56+C54</f>
        <v>3</v>
      </c>
      <c r="J54" s="93">
        <f>G54</f>
        <v>23</v>
      </c>
      <c r="K54" s="81" t="e">
        <f t="shared" si="5"/>
        <v>#REF!</v>
      </c>
    </row>
    <row r="55" spans="1:11" ht="12.75">
      <c r="A55" s="79" t="s">
        <v>762</v>
      </c>
      <c r="B55" s="79"/>
      <c r="C55" s="88"/>
      <c r="D55" s="79"/>
      <c r="E55" s="88"/>
      <c r="F55" s="88"/>
      <c r="G55" s="9"/>
      <c r="H55" s="80"/>
      <c r="I55" s="95"/>
      <c r="J55" s="93"/>
      <c r="K55" s="81"/>
    </row>
    <row r="56" spans="1:11" ht="12.75">
      <c r="A56" s="79"/>
      <c r="B56" s="79"/>
      <c r="C56" s="79"/>
      <c r="D56" s="79"/>
      <c r="E56" s="79"/>
      <c r="F56" s="79"/>
      <c r="H56" s="80"/>
      <c r="I56" s="95"/>
      <c r="J56" s="95"/>
      <c r="K56" s="81"/>
    </row>
    <row r="57" spans="1:11" ht="12.75">
      <c r="A57" s="79"/>
      <c r="B57" s="79"/>
      <c r="C57" s="79"/>
      <c r="D57" s="79"/>
      <c r="E57" s="79"/>
      <c r="F57" s="79"/>
      <c r="H57" s="80"/>
      <c r="J57" s="95"/>
      <c r="K57" s="81"/>
    </row>
    <row r="58" spans="1:11" ht="12.75">
      <c r="A58" s="79" t="s">
        <v>687</v>
      </c>
      <c r="B58" s="79" t="s">
        <v>688</v>
      </c>
      <c r="C58" s="79"/>
      <c r="D58" s="79"/>
      <c r="E58" s="79"/>
      <c r="F58" s="79"/>
      <c r="G58" s="9">
        <f aca="true" t="shared" si="6" ref="G58:G72">SUM(E58+F58)</f>
        <v>0</v>
      </c>
      <c r="H58" s="80">
        <f aca="true" t="shared" si="7" ref="H58:H72">G58/$G$80</f>
        <v>0</v>
      </c>
      <c r="I58" s="93">
        <f>'2014'!C56+'2016'!C60+C59</f>
        <v>3</v>
      </c>
      <c r="J58" s="93">
        <f>'2014'!G56+'2016'!G60+G58</f>
        <v>20</v>
      </c>
      <c r="K58" s="81" t="e">
        <f aca="true" t="shared" si="8" ref="K58:K72">J58/$J$80</f>
        <v>#REF!</v>
      </c>
    </row>
    <row r="59" spans="1:13" ht="12.75">
      <c r="A59" s="79" t="s">
        <v>746</v>
      </c>
      <c r="B59" s="79" t="s">
        <v>747</v>
      </c>
      <c r="C59" s="79"/>
      <c r="D59" s="79"/>
      <c r="E59" s="79"/>
      <c r="F59" s="79"/>
      <c r="G59" s="9">
        <f t="shared" si="6"/>
        <v>0</v>
      </c>
      <c r="H59" s="80">
        <f t="shared" si="7"/>
        <v>0</v>
      </c>
      <c r="I59" s="93">
        <f>'2016'!C61+'2017'!C60+C60</f>
        <v>2</v>
      </c>
      <c r="J59" s="93">
        <f>'2016'!G61+'2017'!G60+G59</f>
        <v>14</v>
      </c>
      <c r="K59" s="81" t="e">
        <f t="shared" si="8"/>
        <v>#REF!</v>
      </c>
      <c r="M59" t="s">
        <v>180</v>
      </c>
    </row>
    <row r="60" spans="1:11" ht="12.75">
      <c r="A60" s="79" t="s">
        <v>748</v>
      </c>
      <c r="B60" s="79" t="s">
        <v>749</v>
      </c>
      <c r="C60" s="79"/>
      <c r="D60" s="79"/>
      <c r="E60" s="79"/>
      <c r="F60" s="79"/>
      <c r="G60" s="9">
        <f t="shared" si="6"/>
        <v>0</v>
      </c>
      <c r="H60" s="80">
        <f t="shared" si="7"/>
        <v>0</v>
      </c>
      <c r="I60" s="93">
        <f>'2016'!C66+C61</f>
        <v>1</v>
      </c>
      <c r="J60" s="93">
        <f>'2016'!G65</f>
        <v>6</v>
      </c>
      <c r="K60" s="81" t="e">
        <f t="shared" si="8"/>
        <v>#REF!</v>
      </c>
    </row>
    <row r="61" spans="1:11" ht="12.75">
      <c r="A61" s="79" t="s">
        <v>750</v>
      </c>
      <c r="B61" s="79" t="s">
        <v>751</v>
      </c>
      <c r="C61" s="79"/>
      <c r="D61" s="79"/>
      <c r="E61" s="79"/>
      <c r="F61" s="79"/>
      <c r="G61" s="9">
        <f t="shared" si="6"/>
        <v>0</v>
      </c>
      <c r="H61" s="80">
        <f t="shared" si="7"/>
        <v>0</v>
      </c>
      <c r="I61" s="93">
        <f>'2014'!C61+C62</f>
        <v>1</v>
      </c>
      <c r="J61" s="93">
        <f>'2016'!G66+G61</f>
        <v>9</v>
      </c>
      <c r="K61" s="81" t="e">
        <f t="shared" si="8"/>
        <v>#REF!</v>
      </c>
    </row>
    <row r="62" spans="1:11" ht="12.75">
      <c r="A62" s="79" t="s">
        <v>651</v>
      </c>
      <c r="B62" s="79" t="s">
        <v>652</v>
      </c>
      <c r="C62" s="79"/>
      <c r="D62" s="79"/>
      <c r="E62" s="79"/>
      <c r="F62" s="79"/>
      <c r="G62" s="9">
        <f t="shared" si="6"/>
        <v>0</v>
      </c>
      <c r="H62" s="80">
        <f t="shared" si="7"/>
        <v>0</v>
      </c>
      <c r="I62" s="93">
        <f>'2014'!C66+C64</f>
        <v>1</v>
      </c>
      <c r="J62" s="93">
        <f>'2014'!G61+G62</f>
        <v>6</v>
      </c>
      <c r="K62" s="81" t="e">
        <f t="shared" si="8"/>
        <v>#REF!</v>
      </c>
    </row>
    <row r="63" spans="1:11" ht="12.75">
      <c r="A63" s="79" t="s">
        <v>779</v>
      </c>
      <c r="B63" s="79" t="s">
        <v>780</v>
      </c>
      <c r="C63" s="79">
        <v>1</v>
      </c>
      <c r="D63" s="79"/>
      <c r="E63" s="79">
        <v>4</v>
      </c>
      <c r="F63" s="79">
        <v>2</v>
      </c>
      <c r="G63" s="9">
        <f t="shared" si="6"/>
        <v>6</v>
      </c>
      <c r="H63" s="80">
        <f t="shared" si="7"/>
        <v>0.03</v>
      </c>
      <c r="I63" s="93">
        <f>'2014'!C67+C63</f>
        <v>1</v>
      </c>
      <c r="J63" s="93">
        <f>'2014'!G62+G63</f>
        <v>6</v>
      </c>
      <c r="K63" s="81" t="e">
        <f t="shared" si="8"/>
        <v>#REF!</v>
      </c>
    </row>
    <row r="64" spans="1:11" ht="12.75">
      <c r="A64" s="79" t="s">
        <v>653</v>
      </c>
      <c r="B64" s="79" t="s">
        <v>654</v>
      </c>
      <c r="C64" s="79"/>
      <c r="D64" s="79"/>
      <c r="E64" s="79"/>
      <c r="F64" s="79"/>
      <c r="G64" s="9">
        <f t="shared" si="6"/>
        <v>0</v>
      </c>
      <c r="H64" s="80">
        <f t="shared" si="7"/>
        <v>0</v>
      </c>
      <c r="I64" s="93">
        <f>'2014'!C70+'2015'!C70+C65</f>
        <v>2</v>
      </c>
      <c r="J64" s="93">
        <f>'2014'!G66+G64</f>
        <v>9</v>
      </c>
      <c r="K64" s="81" t="e">
        <f t="shared" si="8"/>
        <v>#REF!</v>
      </c>
    </row>
    <row r="65" spans="1:11" ht="12.75">
      <c r="A65" s="79" t="s">
        <v>689</v>
      </c>
      <c r="B65" s="79" t="s">
        <v>690</v>
      </c>
      <c r="C65" s="79"/>
      <c r="D65" s="79"/>
      <c r="E65" s="79"/>
      <c r="F65" s="79"/>
      <c r="G65" s="9">
        <f t="shared" si="6"/>
        <v>0</v>
      </c>
      <c r="H65" s="80">
        <f t="shared" si="7"/>
        <v>0</v>
      </c>
      <c r="I65" s="93">
        <f>'2016'!C75+C66</f>
        <v>1</v>
      </c>
      <c r="J65" s="93">
        <f>'2014'!G70+'2015'!G70+G65</f>
        <v>8</v>
      </c>
      <c r="K65" s="81" t="e">
        <f t="shared" si="8"/>
        <v>#REF!</v>
      </c>
    </row>
    <row r="66" spans="1:11" ht="12.75">
      <c r="A66" s="79" t="s">
        <v>752</v>
      </c>
      <c r="B66" s="79" t="s">
        <v>753</v>
      </c>
      <c r="C66" s="79"/>
      <c r="D66" s="79"/>
      <c r="E66" s="79"/>
      <c r="F66" s="79"/>
      <c r="G66" s="9">
        <f t="shared" si="6"/>
        <v>0</v>
      </c>
      <c r="H66" s="80">
        <f t="shared" si="7"/>
        <v>0</v>
      </c>
      <c r="I66" s="93">
        <f>'2014'!C71+C67</f>
        <v>1</v>
      </c>
      <c r="J66" s="93">
        <f>'2016'!G75+G66</f>
        <v>9</v>
      </c>
      <c r="K66" s="81" t="e">
        <f t="shared" si="8"/>
        <v>#REF!</v>
      </c>
    </row>
    <row r="67" spans="1:11" ht="12.75">
      <c r="A67" s="79" t="s">
        <v>691</v>
      </c>
      <c r="B67" s="79" t="s">
        <v>692</v>
      </c>
      <c r="C67" s="79"/>
      <c r="D67" s="79"/>
      <c r="E67" s="79"/>
      <c r="F67" s="79"/>
      <c r="G67" s="9">
        <f t="shared" si="6"/>
        <v>0</v>
      </c>
      <c r="H67" s="80">
        <f t="shared" si="7"/>
        <v>0</v>
      </c>
      <c r="I67" s="93">
        <f>'2014'!C73+C68</f>
        <v>1</v>
      </c>
      <c r="J67" s="93">
        <f>'2014'!G71+G67</f>
        <v>7</v>
      </c>
      <c r="K67" s="81" t="e">
        <f t="shared" si="8"/>
        <v>#REF!</v>
      </c>
    </row>
    <row r="68" spans="1:11" ht="12.75">
      <c r="A68" s="79" t="s">
        <v>675</v>
      </c>
      <c r="B68" s="79" t="s">
        <v>676</v>
      </c>
      <c r="C68" s="79"/>
      <c r="D68" s="79"/>
      <c r="E68" s="79"/>
      <c r="F68" s="79"/>
      <c r="G68" s="9">
        <f t="shared" si="6"/>
        <v>0</v>
      </c>
      <c r="H68" s="80">
        <f t="shared" si="7"/>
        <v>0</v>
      </c>
      <c r="I68" s="93">
        <f>'2014'!C75</f>
        <v>1</v>
      </c>
      <c r="J68" s="93">
        <f>'2014'!G73+G68</f>
        <v>9</v>
      </c>
      <c r="K68" s="81" t="e">
        <f t="shared" si="8"/>
        <v>#REF!</v>
      </c>
    </row>
    <row r="69" spans="1:11" ht="12.75">
      <c r="A69" s="79" t="s">
        <v>781</v>
      </c>
      <c r="B69" s="79" t="s">
        <v>782</v>
      </c>
      <c r="C69" s="79">
        <v>1</v>
      </c>
      <c r="D69" s="79"/>
      <c r="E69" s="79">
        <v>5</v>
      </c>
      <c r="F69" s="79">
        <v>2</v>
      </c>
      <c r="G69" s="9">
        <f t="shared" si="6"/>
        <v>7</v>
      </c>
      <c r="H69" s="80">
        <f t="shared" si="7"/>
        <v>0.035</v>
      </c>
      <c r="I69" s="93">
        <f>'2014'!C76</f>
        <v>1</v>
      </c>
      <c r="J69" s="93">
        <f>'2014'!G74+G69</f>
        <v>7</v>
      </c>
      <c r="K69" s="81" t="e">
        <f t="shared" si="8"/>
        <v>#REF!</v>
      </c>
    </row>
    <row r="70" spans="1:11" ht="12.75">
      <c r="A70" s="79" t="s">
        <v>695</v>
      </c>
      <c r="B70" s="79" t="s">
        <v>696</v>
      </c>
      <c r="C70" s="79"/>
      <c r="D70" s="79"/>
      <c r="E70" s="79"/>
      <c r="F70" s="79"/>
      <c r="G70" s="9">
        <f t="shared" si="6"/>
        <v>0</v>
      </c>
      <c r="H70" s="80">
        <f t="shared" si="7"/>
        <v>0</v>
      </c>
      <c r="I70" s="93">
        <f>'2014'!C76+'2015'!C76+C71</f>
        <v>2</v>
      </c>
      <c r="J70" s="93">
        <f>'2014'!G75</f>
        <v>5</v>
      </c>
      <c r="K70" s="81" t="e">
        <f t="shared" si="8"/>
        <v>#REF!</v>
      </c>
    </row>
    <row r="71" spans="1:11" ht="12.75">
      <c r="A71" s="79" t="s">
        <v>697</v>
      </c>
      <c r="B71" s="79" t="s">
        <v>698</v>
      </c>
      <c r="C71" s="79"/>
      <c r="D71" s="79"/>
      <c r="E71" s="79"/>
      <c r="F71" s="79"/>
      <c r="G71" s="9">
        <f t="shared" si="6"/>
        <v>0</v>
      </c>
      <c r="H71" s="80">
        <f t="shared" si="7"/>
        <v>0</v>
      </c>
      <c r="I71" s="93">
        <f>'2017'!C74+C72</f>
        <v>3</v>
      </c>
      <c r="J71" s="93">
        <f>'2014'!G76+'2015'!G76+G71</f>
        <v>12</v>
      </c>
      <c r="K71" s="81" t="e">
        <f t="shared" si="8"/>
        <v>#REF!</v>
      </c>
    </row>
    <row r="72" spans="1:11" ht="12.75">
      <c r="A72" s="79" t="s">
        <v>763</v>
      </c>
      <c r="B72" s="79" t="s">
        <v>764</v>
      </c>
      <c r="C72" s="79">
        <v>1</v>
      </c>
      <c r="D72" s="79"/>
      <c r="E72" s="79">
        <v>1</v>
      </c>
      <c r="F72" s="79">
        <v>0</v>
      </c>
      <c r="G72" s="9">
        <f t="shared" si="6"/>
        <v>1</v>
      </c>
      <c r="H72" s="80">
        <f t="shared" si="7"/>
        <v>0.005</v>
      </c>
      <c r="I72" s="93">
        <f>'2017'!C74+C73</f>
        <v>2</v>
      </c>
      <c r="J72" s="93">
        <f>'2017'!G74+G72</f>
        <v>17</v>
      </c>
      <c r="K72" s="81" t="e">
        <f t="shared" si="8"/>
        <v>#REF!</v>
      </c>
    </row>
    <row r="73" spans="1:11" ht="12.75">
      <c r="A73" s="79"/>
      <c r="B73" s="79"/>
      <c r="C73" s="79"/>
      <c r="D73" s="79"/>
      <c r="E73" s="79"/>
      <c r="F73" s="79"/>
      <c r="G73" s="9"/>
      <c r="H73" s="80"/>
      <c r="I73" s="93"/>
      <c r="J73" s="93"/>
      <c r="K73" s="81"/>
    </row>
    <row r="74" spans="1:11" ht="12.75">
      <c r="A74" s="79"/>
      <c r="B74" s="79"/>
      <c r="C74" s="88"/>
      <c r="D74" s="79"/>
      <c r="E74" s="88"/>
      <c r="F74" s="88"/>
      <c r="G74" s="9"/>
      <c r="H74" s="80"/>
      <c r="I74" s="95"/>
      <c r="J74" s="93"/>
      <c r="K74" s="81"/>
    </row>
    <row r="75" spans="1:11" ht="12.75">
      <c r="A75" s="79"/>
      <c r="B75" s="79"/>
      <c r="C75" s="79"/>
      <c r="D75" s="79"/>
      <c r="E75" s="88"/>
      <c r="F75" s="88"/>
      <c r="G75" s="9"/>
      <c r="H75" s="80"/>
      <c r="J75" s="93"/>
      <c r="K75" s="81"/>
    </row>
    <row r="76" spans="1:11" ht="12.75">
      <c r="A76" s="79" t="s">
        <v>531</v>
      </c>
      <c r="B76" s="79"/>
      <c r="C76" s="88"/>
      <c r="D76" s="79"/>
      <c r="E76" s="88">
        <f>SUM(E3:E72)</f>
        <v>96</v>
      </c>
      <c r="F76" s="88">
        <f>SUM(F3:F72)</f>
        <v>99</v>
      </c>
      <c r="G76" s="88">
        <f>SUM(G3:G72)</f>
        <v>195</v>
      </c>
      <c r="H76" s="80">
        <f>G76/$G$80</f>
        <v>0.975</v>
      </c>
      <c r="I76" s="88"/>
      <c r="J76" s="88" t="e">
        <f>SUM(J3:J72)</f>
        <v>#REF!</v>
      </c>
      <c r="K76" s="81" t="e">
        <f>J76/$J$80</f>
        <v>#REF!</v>
      </c>
    </row>
    <row r="77" spans="1:11" ht="12.75">
      <c r="A77" s="79"/>
      <c r="B77" s="79"/>
      <c r="C77" s="79"/>
      <c r="D77" s="79"/>
      <c r="E77" s="79"/>
      <c r="F77" s="79"/>
      <c r="G77" s="9"/>
      <c r="H77" s="80"/>
      <c r="I77" s="88"/>
      <c r="J77" s="95"/>
      <c r="K77" s="81"/>
    </row>
    <row r="78" spans="1:11" ht="12.75">
      <c r="A78" s="79" t="s">
        <v>462</v>
      </c>
      <c r="B78" s="79"/>
      <c r="C78" s="79">
        <v>4</v>
      </c>
      <c r="D78" s="79"/>
      <c r="E78" s="79">
        <v>4</v>
      </c>
      <c r="F78" s="89">
        <v>1</v>
      </c>
      <c r="G78" s="9">
        <v>5</v>
      </c>
      <c r="H78" s="80">
        <f>G78/$G$80</f>
        <v>0.025</v>
      </c>
      <c r="I78" s="88"/>
      <c r="J78" s="93">
        <f>'2014'!G80+G78</f>
        <v>9</v>
      </c>
      <c r="K78" s="81" t="e">
        <f>J78/$J$80</f>
        <v>#REF!</v>
      </c>
    </row>
    <row r="79" spans="1:11" ht="12.75">
      <c r="A79" s="79"/>
      <c r="B79" s="79"/>
      <c r="C79" s="79"/>
      <c r="D79" s="79"/>
      <c r="E79" s="79"/>
      <c r="F79" s="79"/>
      <c r="H79" s="80"/>
      <c r="I79" s="88" t="e">
        <f>SUM(I3:I71)</f>
        <v>#REF!</v>
      </c>
      <c r="J79" s="93"/>
      <c r="K79" s="81"/>
    </row>
    <row r="80" spans="1:11" ht="12.75">
      <c r="A80" s="79" t="s">
        <v>533</v>
      </c>
      <c r="B80" s="79"/>
      <c r="C80" s="91">
        <f>SUM(C3:C78)</f>
        <v>31</v>
      </c>
      <c r="D80" s="79"/>
      <c r="E80" s="79">
        <f>E76+E78</f>
        <v>100</v>
      </c>
      <c r="F80" s="88">
        <f>SUM(F3:F72)</f>
        <v>99</v>
      </c>
      <c r="G80" s="9">
        <f>SUM(G76+G78)</f>
        <v>200</v>
      </c>
      <c r="H80" s="80">
        <f>G80/$G$80</f>
        <v>1</v>
      </c>
      <c r="J80" s="93" t="e">
        <f>J76+J78</f>
        <v>#REF!</v>
      </c>
      <c r="K80" s="81" t="e">
        <f>J80/$J$80</f>
        <v>#REF!</v>
      </c>
    </row>
    <row r="81" spans="1:6" ht="12.75">
      <c r="A81" s="79"/>
      <c r="B81" s="79"/>
      <c r="C81" s="79"/>
      <c r="D81" s="79"/>
      <c r="E81" s="79"/>
      <c r="F81" s="79"/>
    </row>
    <row r="82" spans="1:9" ht="12.75">
      <c r="A82" s="79"/>
      <c r="B82" s="79"/>
      <c r="C82" s="79"/>
      <c r="D82" s="79"/>
      <c r="E82" s="79"/>
      <c r="F82" s="79"/>
      <c r="I82" s="88"/>
    </row>
    <row r="83" spans="1:11" ht="12.75">
      <c r="A83" s="88" t="s">
        <v>6</v>
      </c>
      <c r="B83" s="79"/>
      <c r="C83" s="88"/>
      <c r="D83" s="88"/>
      <c r="E83" s="88"/>
      <c r="F83" s="88"/>
      <c r="G83" s="88"/>
      <c r="H83" s="88"/>
      <c r="I83" s="88"/>
      <c r="J83" s="88"/>
      <c r="K83" s="88"/>
    </row>
    <row r="84" spans="1:11" ht="12.75">
      <c r="A84" s="88" t="s">
        <v>7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1:11" ht="12.75">
      <c r="A85" s="88" t="s">
        <v>563</v>
      </c>
      <c r="B85" s="90" t="e">
        <f>4*(B83*B84)/(B83+B84)</f>
        <v>#DIV/0!</v>
      </c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1:11" ht="12.75">
      <c r="A87" s="88" t="s">
        <v>564</v>
      </c>
      <c r="B87" s="90" t="e">
        <f>(B85/B84)*50</f>
        <v>#DIV/0!</v>
      </c>
      <c r="C87" s="88"/>
      <c r="D87" s="88"/>
      <c r="E87" s="88"/>
      <c r="F87" s="88"/>
      <c r="G87" s="88"/>
      <c r="H87" s="88"/>
      <c r="I87" s="88"/>
      <c r="J87" s="88"/>
      <c r="K87" s="88"/>
    </row>
    <row r="88" spans="1:1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1:11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1:11" ht="12.75">
      <c r="A90" s="88" t="s">
        <v>534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1:1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1:11" ht="12.75">
      <c r="A92" s="88" t="s">
        <v>6</v>
      </c>
      <c r="B92" s="88">
        <f>'2013'!B91+'2014'!B84+'2015'!B87+'2016'!B91+B83</f>
        <v>114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1:11" ht="12.75">
      <c r="A93" s="88" t="s">
        <v>7</v>
      </c>
      <c r="B93" s="88">
        <f>'2013'!B92+'2014'!B85+B84+'2015'!B88+'2016'!B92+B84</f>
        <v>154</v>
      </c>
      <c r="C93" s="88"/>
      <c r="D93" s="88"/>
      <c r="E93" s="88"/>
      <c r="F93" s="88"/>
      <c r="G93" s="88"/>
      <c r="H93" s="88"/>
      <c r="I93" s="88"/>
      <c r="J93" s="88"/>
      <c r="K93" s="88"/>
    </row>
    <row r="94" spans="1:11" ht="12.75">
      <c r="A94" s="88" t="s">
        <v>563</v>
      </c>
      <c r="B94" s="90">
        <f>4*(B92*B93)/(B92+B93)</f>
        <v>262.02985074626866</v>
      </c>
      <c r="C94" s="88"/>
      <c r="D94" s="88"/>
      <c r="E94" s="88"/>
      <c r="F94" s="88"/>
      <c r="G94" s="88"/>
      <c r="H94" s="88"/>
      <c r="I94" s="88"/>
      <c r="J94" s="88"/>
      <c r="K94" s="88"/>
    </row>
    <row r="95" spans="1:1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1:11" ht="12.75">
      <c r="A96" s="88" t="s">
        <v>564</v>
      </c>
      <c r="B96" s="90">
        <f>(B94/B93)*50</f>
        <v>85.07462686567165</v>
      </c>
      <c r="C96" s="88"/>
      <c r="D96" s="88"/>
      <c r="E96" s="88"/>
      <c r="F96" s="88"/>
      <c r="G96" s="88"/>
      <c r="H96" s="88"/>
      <c r="J96" s="88"/>
      <c r="K96" s="88"/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0"/>
  <sheetViews>
    <sheetView zoomScale="90" zoomScaleNormal="90" zoomScalePageLayoutView="0" workbookViewId="0" topLeftCell="A10">
      <selection activeCell="A24" sqref="A24"/>
    </sheetView>
  </sheetViews>
  <sheetFormatPr defaultColWidth="11.57421875" defaultRowHeight="12.75"/>
  <cols>
    <col min="1" max="1" width="26.8515625" style="0" customWidth="1"/>
    <col min="2" max="2" width="14.7109375" style="0" customWidth="1"/>
  </cols>
  <sheetData>
    <row r="1" spans="1:11" ht="12.75" customHeight="1">
      <c r="A1" s="73" t="s">
        <v>0</v>
      </c>
      <c r="B1" s="74">
        <v>2019</v>
      </c>
      <c r="C1" s="106" t="s">
        <v>4</v>
      </c>
      <c r="D1" s="106" t="s">
        <v>6</v>
      </c>
      <c r="E1" s="106" t="s">
        <v>7</v>
      </c>
      <c r="F1" s="73"/>
      <c r="G1" s="75"/>
      <c r="H1" s="106" t="s">
        <v>719</v>
      </c>
      <c r="I1" s="106" t="s">
        <v>720</v>
      </c>
      <c r="J1" s="109" t="s">
        <v>322</v>
      </c>
      <c r="K1" s="108" t="s">
        <v>13</v>
      </c>
    </row>
    <row r="2" spans="1:11" ht="17.25">
      <c r="A2" s="76" t="s">
        <v>431</v>
      </c>
      <c r="B2" s="76" t="s">
        <v>3</v>
      </c>
      <c r="C2" s="106"/>
      <c r="D2" s="106"/>
      <c r="E2" s="106"/>
      <c r="F2" s="73" t="s">
        <v>8</v>
      </c>
      <c r="G2" s="75" t="s">
        <v>9</v>
      </c>
      <c r="H2" s="106"/>
      <c r="I2" s="106"/>
      <c r="J2" s="109"/>
      <c r="K2" s="108"/>
    </row>
    <row r="3" spans="1:10" ht="12.75">
      <c r="A3" s="79" t="s">
        <v>671</v>
      </c>
      <c r="B3" s="79" t="s">
        <v>672</v>
      </c>
      <c r="C3" s="79">
        <v>1</v>
      </c>
      <c r="D3" s="79">
        <v>2</v>
      </c>
      <c r="E3" s="79">
        <v>2</v>
      </c>
      <c r="F3" s="9">
        <f>SUM(D3+E3)</f>
        <v>4</v>
      </c>
      <c r="G3" s="80">
        <f aca="true" t="shared" si="0" ref="G3:G34">F3/$F$84</f>
        <v>0.016736401673640166</v>
      </c>
      <c r="H3" s="93">
        <f>'2017'!C4+C3</f>
        <v>2</v>
      </c>
      <c r="I3" s="93">
        <f>'2017'!G4+F3</f>
        <v>7</v>
      </c>
      <c r="J3" s="81">
        <f aca="true" t="shared" si="1" ref="J3:J34">I3/$I$84</f>
        <v>0.005417956656346749</v>
      </c>
    </row>
    <row r="4" spans="1:10" ht="12.75">
      <c r="A4" s="79" t="s">
        <v>783</v>
      </c>
      <c r="B4" s="79" t="s">
        <v>784</v>
      </c>
      <c r="C4" s="79">
        <v>1</v>
      </c>
      <c r="D4" s="79">
        <v>3</v>
      </c>
      <c r="E4" s="79">
        <v>5</v>
      </c>
      <c r="F4" s="9">
        <v>8</v>
      </c>
      <c r="G4" s="80">
        <f t="shared" si="0"/>
        <v>0.03347280334728033</v>
      </c>
      <c r="H4" s="93">
        <f>C4</f>
        <v>1</v>
      </c>
      <c r="I4" s="93">
        <f>F4</f>
        <v>8</v>
      </c>
      <c r="J4" s="81">
        <f t="shared" si="1"/>
        <v>0.006191950464396285</v>
      </c>
    </row>
    <row r="5" spans="1:10" ht="12.75">
      <c r="A5" s="79" t="s">
        <v>677</v>
      </c>
      <c r="B5" s="79" t="s">
        <v>678</v>
      </c>
      <c r="C5" s="79"/>
      <c r="D5" s="79"/>
      <c r="E5" s="79"/>
      <c r="F5" s="9">
        <f>SUM(D5+E5)</f>
        <v>0</v>
      </c>
      <c r="G5" s="80">
        <f t="shared" si="0"/>
        <v>0</v>
      </c>
      <c r="H5" s="93">
        <f>'2016'!C5+C5</f>
        <v>2</v>
      </c>
      <c r="I5" s="93">
        <f>'2016'!G5+F5</f>
        <v>6</v>
      </c>
      <c r="J5" s="81">
        <f t="shared" si="1"/>
        <v>0.0046439628482972135</v>
      </c>
    </row>
    <row r="6" spans="1:10" ht="12.75">
      <c r="A6" s="79" t="s">
        <v>785</v>
      </c>
      <c r="B6" s="79" t="s">
        <v>786</v>
      </c>
      <c r="C6" s="79">
        <v>1</v>
      </c>
      <c r="D6" s="79">
        <v>3</v>
      </c>
      <c r="E6" s="79">
        <v>2</v>
      </c>
      <c r="F6" s="9">
        <v>5</v>
      </c>
      <c r="G6" s="80">
        <f t="shared" si="0"/>
        <v>0.02092050209205021</v>
      </c>
      <c r="H6" s="93">
        <f>C6</f>
        <v>1</v>
      </c>
      <c r="I6" s="93">
        <f>F6</f>
        <v>5</v>
      </c>
      <c r="J6" s="81">
        <f t="shared" si="1"/>
        <v>0.003869969040247678</v>
      </c>
    </row>
    <row r="7" spans="1:10" ht="12.75">
      <c r="A7" s="79" t="s">
        <v>635</v>
      </c>
      <c r="B7" s="79" t="s">
        <v>636</v>
      </c>
      <c r="C7" s="79"/>
      <c r="D7" s="79"/>
      <c r="E7" s="79"/>
      <c r="F7" s="9">
        <f>SUM(D7+E7)</f>
        <v>0</v>
      </c>
      <c r="G7" s="80">
        <f t="shared" si="0"/>
        <v>0</v>
      </c>
      <c r="H7" s="93">
        <f>'2015'!C6+C7</f>
        <v>1</v>
      </c>
      <c r="I7" s="93">
        <f>'2015'!G6+F7</f>
        <v>6</v>
      </c>
      <c r="J7" s="81">
        <f t="shared" si="1"/>
        <v>0.0046439628482972135</v>
      </c>
    </row>
    <row r="8" spans="1:10" ht="12.75">
      <c r="A8" s="79" t="s">
        <v>765</v>
      </c>
      <c r="B8" s="79" t="s">
        <v>766</v>
      </c>
      <c r="C8" s="79"/>
      <c r="D8" s="79"/>
      <c r="E8" s="79"/>
      <c r="F8" s="9">
        <f>SUM(D8+E8)</f>
        <v>0</v>
      </c>
      <c r="G8" s="80">
        <f t="shared" si="0"/>
        <v>0</v>
      </c>
      <c r="H8" s="93">
        <f>'2018'!C6+C8</f>
        <v>1</v>
      </c>
      <c r="I8" s="93">
        <f>'2018'!G6+F8</f>
        <v>2</v>
      </c>
      <c r="J8" s="81">
        <f t="shared" si="1"/>
        <v>0.0015479876160990713</v>
      </c>
    </row>
    <row r="9" spans="1:12" ht="12.75">
      <c r="A9" s="79" t="s">
        <v>699</v>
      </c>
      <c r="B9" s="79" t="s">
        <v>700</v>
      </c>
      <c r="C9" s="79"/>
      <c r="D9" s="79"/>
      <c r="E9" s="79"/>
      <c r="F9" s="9">
        <f>SUM(D9+E9)</f>
        <v>0</v>
      </c>
      <c r="G9" s="80">
        <f t="shared" si="0"/>
        <v>0</v>
      </c>
      <c r="H9" s="93">
        <f>'2016'!C7+C9+'2015'!C7</f>
        <v>3</v>
      </c>
      <c r="I9" s="93">
        <f>'2016'!G7+F9+'2015'!G7</f>
        <v>26</v>
      </c>
      <c r="J9" s="81">
        <f t="shared" si="1"/>
        <v>0.020123839009287926</v>
      </c>
      <c r="L9" s="96"/>
    </row>
    <row r="10" spans="1:10" ht="12.75">
      <c r="A10" s="79" t="s">
        <v>721</v>
      </c>
      <c r="B10" s="79" t="s">
        <v>722</v>
      </c>
      <c r="C10" s="79"/>
      <c r="D10" s="79"/>
      <c r="E10" s="79"/>
      <c r="F10" s="9">
        <f>SUM(D10+E10)</f>
        <v>0</v>
      </c>
      <c r="G10" s="80">
        <f t="shared" si="0"/>
        <v>0</v>
      </c>
      <c r="H10" s="93">
        <f>'2016'!C9+C10</f>
        <v>1</v>
      </c>
      <c r="I10" s="93">
        <f>'2016'!G9+F10</f>
        <v>8</v>
      </c>
      <c r="J10" s="81">
        <f t="shared" si="1"/>
        <v>0.006191950464396285</v>
      </c>
    </row>
    <row r="11" spans="1:10" ht="12.75">
      <c r="A11" s="79" t="s">
        <v>787</v>
      </c>
      <c r="B11" s="79" t="s">
        <v>788</v>
      </c>
      <c r="C11" s="79">
        <v>2</v>
      </c>
      <c r="D11" s="79">
        <v>3</v>
      </c>
      <c r="E11" s="79">
        <v>6</v>
      </c>
      <c r="F11" s="9">
        <v>9</v>
      </c>
      <c r="G11" s="80">
        <f t="shared" si="0"/>
        <v>0.03765690376569038</v>
      </c>
      <c r="H11" s="93">
        <f>C11</f>
        <v>2</v>
      </c>
      <c r="I11" s="93">
        <f>F11</f>
        <v>9</v>
      </c>
      <c r="J11" s="81">
        <f t="shared" si="1"/>
        <v>0.00696594427244582</v>
      </c>
    </row>
    <row r="12" spans="1:10" ht="12.75">
      <c r="A12" s="79" t="s">
        <v>789</v>
      </c>
      <c r="B12" s="79" t="s">
        <v>790</v>
      </c>
      <c r="C12" s="79">
        <v>1</v>
      </c>
      <c r="D12" s="79">
        <v>5</v>
      </c>
      <c r="E12" s="79">
        <v>3</v>
      </c>
      <c r="F12" s="9">
        <v>8</v>
      </c>
      <c r="G12" s="80">
        <f t="shared" si="0"/>
        <v>0.03347280334728033</v>
      </c>
      <c r="H12" s="93">
        <f>C12</f>
        <v>1</v>
      </c>
      <c r="I12" s="93">
        <f>F12</f>
        <v>8</v>
      </c>
      <c r="J12" s="81">
        <f t="shared" si="1"/>
        <v>0.006191950464396285</v>
      </c>
    </row>
    <row r="13" spans="1:10" ht="12.75">
      <c r="A13" s="79" t="s">
        <v>723</v>
      </c>
      <c r="B13" s="79" t="s">
        <v>724</v>
      </c>
      <c r="C13" s="79">
        <v>2</v>
      </c>
      <c r="D13" s="79">
        <v>7</v>
      </c>
      <c r="E13" s="79">
        <v>9</v>
      </c>
      <c r="F13" s="9">
        <f>SUM(D13+E13)</f>
        <v>16</v>
      </c>
      <c r="G13" s="80">
        <f t="shared" si="0"/>
        <v>0.06694560669456066</v>
      </c>
      <c r="H13" s="93">
        <f>'2016'!C11+'2018'!C10+C13</f>
        <v>5</v>
      </c>
      <c r="I13" s="93">
        <f>'2016'!G11+'2018'!G10+F13</f>
        <v>41</v>
      </c>
      <c r="J13" s="81">
        <f t="shared" si="1"/>
        <v>0.03173374613003096</v>
      </c>
    </row>
    <row r="14" spans="1:10" ht="12.75">
      <c r="A14" s="79" t="s">
        <v>791</v>
      </c>
      <c r="B14" s="79" t="s">
        <v>792</v>
      </c>
      <c r="C14" s="79">
        <v>3</v>
      </c>
      <c r="D14" s="79">
        <v>12</v>
      </c>
      <c r="E14" s="79">
        <v>13</v>
      </c>
      <c r="F14" s="9">
        <v>25</v>
      </c>
      <c r="G14" s="80">
        <f t="shared" si="0"/>
        <v>0.10460251046025104</v>
      </c>
      <c r="H14" s="93">
        <f>C14</f>
        <v>3</v>
      </c>
      <c r="I14" s="93">
        <f>F14</f>
        <v>25</v>
      </c>
      <c r="J14" s="81">
        <f t="shared" si="1"/>
        <v>0.01934984520123839</v>
      </c>
    </row>
    <row r="15" spans="1:10" ht="12.75">
      <c r="A15" s="79" t="s">
        <v>754</v>
      </c>
      <c r="B15" s="79" t="s">
        <v>755</v>
      </c>
      <c r="C15" s="79"/>
      <c r="D15" s="79"/>
      <c r="E15" s="79"/>
      <c r="F15" s="9">
        <f>SUM(D15+E15)</f>
        <v>0</v>
      </c>
      <c r="G15" s="80">
        <f t="shared" si="0"/>
        <v>0</v>
      </c>
      <c r="H15" s="93">
        <f>'2017'!C12+'2018'!C11+C15</f>
        <v>3</v>
      </c>
      <c r="I15" s="93">
        <f>'2017'!G12+'2018'!G11+F15</f>
        <v>27</v>
      </c>
      <c r="J15" s="81">
        <f t="shared" si="1"/>
        <v>0.02089783281733746</v>
      </c>
    </row>
    <row r="16" spans="1:10" ht="12.75">
      <c r="A16" s="79" t="s">
        <v>725</v>
      </c>
      <c r="B16" s="79" t="s">
        <v>726</v>
      </c>
      <c r="C16" s="79"/>
      <c r="D16" s="79"/>
      <c r="E16" s="79"/>
      <c r="F16" s="9">
        <f>SUM(D16+E16)</f>
        <v>0</v>
      </c>
      <c r="G16" s="80">
        <f t="shared" si="0"/>
        <v>0</v>
      </c>
      <c r="H16" s="93">
        <f>'2016'!C12+'2017'!C13+C16</f>
        <v>2</v>
      </c>
      <c r="I16" s="93">
        <f>'2016'!G12+'2017'!G12+F16</f>
        <v>30</v>
      </c>
      <c r="J16" s="81">
        <f t="shared" si="1"/>
        <v>0.02321981424148607</v>
      </c>
    </row>
    <row r="17" spans="1:10" ht="12.75">
      <c r="A17" s="79" t="s">
        <v>624</v>
      </c>
      <c r="B17" s="79" t="s">
        <v>625</v>
      </c>
      <c r="C17" s="79"/>
      <c r="D17" s="79"/>
      <c r="E17" s="79"/>
      <c r="F17" s="9">
        <f>SUM(D17+E17)</f>
        <v>0</v>
      </c>
      <c r="G17" s="80">
        <f t="shared" si="0"/>
        <v>0</v>
      </c>
      <c r="H17" s="93">
        <f>'2014'!C11+'2015'!C11+C17</f>
        <v>3</v>
      </c>
      <c r="I17" s="93">
        <f>'2014'!G11+'2015'!G11+F17</f>
        <v>16</v>
      </c>
      <c r="J17" s="81">
        <f t="shared" si="1"/>
        <v>0.01238390092879257</v>
      </c>
    </row>
    <row r="18" spans="1:10" ht="12.75">
      <c r="A18" s="79" t="s">
        <v>602</v>
      </c>
      <c r="B18" s="79" t="s">
        <v>603</v>
      </c>
      <c r="C18" s="79"/>
      <c r="D18" s="79"/>
      <c r="E18" s="79"/>
      <c r="F18" s="9">
        <f>SUM(D18+E18)</f>
        <v>0</v>
      </c>
      <c r="G18" s="80">
        <f t="shared" si="0"/>
        <v>0</v>
      </c>
      <c r="H18" s="93">
        <f>'2015'!C12</f>
        <v>2</v>
      </c>
      <c r="I18" s="93">
        <f>'2015'!G12</f>
        <v>14</v>
      </c>
      <c r="J18" s="81">
        <f t="shared" si="1"/>
        <v>0.010835913312693499</v>
      </c>
    </row>
    <row r="19" spans="1:10" ht="12.75">
      <c r="A19" s="79" t="s">
        <v>571</v>
      </c>
      <c r="B19" s="79" t="s">
        <v>572</v>
      </c>
      <c r="C19" s="79"/>
      <c r="D19" s="79"/>
      <c r="E19" s="79"/>
      <c r="F19" s="9">
        <f>SUM(D19+E19)</f>
        <v>0</v>
      </c>
      <c r="G19" s="80">
        <f t="shared" si="0"/>
        <v>0</v>
      </c>
      <c r="H19" s="93">
        <f>'2016'!C12</f>
        <v>1</v>
      </c>
      <c r="I19" s="93">
        <f>'2016'!G15</f>
        <v>4</v>
      </c>
      <c r="J19" s="81">
        <f t="shared" si="1"/>
        <v>0.0030959752321981426</v>
      </c>
    </row>
    <row r="20" spans="1:10" ht="12.75">
      <c r="A20" s="79" t="s">
        <v>793</v>
      </c>
      <c r="B20" s="79" t="s">
        <v>794</v>
      </c>
      <c r="C20" s="79">
        <v>3</v>
      </c>
      <c r="D20" s="79">
        <v>9</v>
      </c>
      <c r="E20" s="79">
        <v>11</v>
      </c>
      <c r="F20" s="9">
        <v>20</v>
      </c>
      <c r="G20" s="80">
        <f t="shared" si="0"/>
        <v>0.08368200836820083</v>
      </c>
      <c r="H20" s="93">
        <f>C20</f>
        <v>3</v>
      </c>
      <c r="I20" s="93">
        <f>F20</f>
        <v>20</v>
      </c>
      <c r="J20" s="81">
        <f t="shared" si="1"/>
        <v>0.015479876160990712</v>
      </c>
    </row>
    <row r="21" spans="1:10" ht="12.75">
      <c r="A21" s="86" t="s">
        <v>639</v>
      </c>
      <c r="B21" s="79" t="s">
        <v>640</v>
      </c>
      <c r="C21" s="79"/>
      <c r="D21" s="79"/>
      <c r="E21" s="79"/>
      <c r="F21" s="9">
        <f aca="true" t="shared" si="2" ref="F21:F26">SUM(D21+E21)</f>
        <v>0</v>
      </c>
      <c r="G21" s="80">
        <f t="shared" si="0"/>
        <v>0</v>
      </c>
      <c r="H21" s="93">
        <f>'2014'!C17+C21</f>
        <v>3</v>
      </c>
      <c r="I21" s="93">
        <f>'2014'!G17+F21</f>
        <v>20</v>
      </c>
      <c r="J21" s="81">
        <f t="shared" si="1"/>
        <v>0.015479876160990712</v>
      </c>
    </row>
    <row r="22" spans="1:10" ht="12.75">
      <c r="A22" s="79" t="s">
        <v>641</v>
      </c>
      <c r="B22" s="79" t="s">
        <v>659</v>
      </c>
      <c r="C22" s="79"/>
      <c r="D22" s="79"/>
      <c r="E22" s="79"/>
      <c r="F22" s="9">
        <f t="shared" si="2"/>
        <v>0</v>
      </c>
      <c r="G22" s="80">
        <f t="shared" si="0"/>
        <v>0</v>
      </c>
      <c r="H22" s="93">
        <f>'2014'!C18+'2015'!C15+'2017'!C18+C22</f>
        <v>4</v>
      </c>
      <c r="I22" s="93">
        <f>'2014'!G18+'2015'!G15+'2017'!G17+F22</f>
        <v>18</v>
      </c>
      <c r="J22" s="81">
        <f t="shared" si="1"/>
        <v>0.01393188854489164</v>
      </c>
    </row>
    <row r="23" spans="1:10" ht="12.75">
      <c r="A23" s="79" t="s">
        <v>727</v>
      </c>
      <c r="B23" s="79" t="s">
        <v>728</v>
      </c>
      <c r="C23" s="79">
        <v>1</v>
      </c>
      <c r="D23" s="79">
        <v>3</v>
      </c>
      <c r="E23" s="79">
        <v>5</v>
      </c>
      <c r="F23" s="9">
        <f t="shared" si="2"/>
        <v>8</v>
      </c>
      <c r="G23" s="80">
        <f t="shared" si="0"/>
        <v>0.03347280334728033</v>
      </c>
      <c r="H23" s="93">
        <f>'2016'!C18+'2017'!C19+'2018'!C18+C23</f>
        <v>4</v>
      </c>
      <c r="I23" s="93">
        <f>'2016'!G18+'2017'!G19+'2018'!J18+F23</f>
        <v>47</v>
      </c>
      <c r="J23" s="81">
        <f t="shared" si="1"/>
        <v>0.03637770897832817</v>
      </c>
    </row>
    <row r="24" spans="1:10" ht="12.75">
      <c r="A24" s="79" t="s">
        <v>756</v>
      </c>
      <c r="B24" s="79" t="s">
        <v>757</v>
      </c>
      <c r="C24" s="79">
        <v>1</v>
      </c>
      <c r="D24" s="79">
        <v>5</v>
      </c>
      <c r="E24" s="79">
        <v>4</v>
      </c>
      <c r="F24" s="9">
        <f t="shared" si="2"/>
        <v>9</v>
      </c>
      <c r="G24" s="80">
        <f t="shared" si="0"/>
        <v>0.03765690376569038</v>
      </c>
      <c r="H24" s="93">
        <f>'2016'!C19+'2017'!C20+C24</f>
        <v>2</v>
      </c>
      <c r="I24" s="93">
        <f>'2016'!G19+'2017'!G19+F24</f>
        <v>16</v>
      </c>
      <c r="J24" s="81">
        <f t="shared" si="1"/>
        <v>0.01238390092879257</v>
      </c>
    </row>
    <row r="25" spans="1:10" ht="12.75">
      <c r="A25" s="79" t="s">
        <v>767</v>
      </c>
      <c r="B25" s="79" t="s">
        <v>768</v>
      </c>
      <c r="C25" s="79"/>
      <c r="D25" s="79"/>
      <c r="E25" s="79"/>
      <c r="F25" s="9">
        <f t="shared" si="2"/>
        <v>0</v>
      </c>
      <c r="G25" s="80">
        <f t="shared" si="0"/>
        <v>0</v>
      </c>
      <c r="H25" s="93">
        <f>'2018'!C20+C25</f>
        <v>1</v>
      </c>
      <c r="I25" s="93">
        <f>'2018'!G20+F25</f>
        <v>8</v>
      </c>
      <c r="J25" s="81">
        <f t="shared" si="1"/>
        <v>0.006191950464396285</v>
      </c>
    </row>
    <row r="26" spans="1:10" ht="12.75">
      <c r="A26" s="79" t="s">
        <v>769</v>
      </c>
      <c r="B26" s="79" t="s">
        <v>770</v>
      </c>
      <c r="C26" s="79">
        <v>1</v>
      </c>
      <c r="D26" s="79">
        <v>6</v>
      </c>
      <c r="E26" s="79">
        <v>2</v>
      </c>
      <c r="F26" s="9">
        <f t="shared" si="2"/>
        <v>8</v>
      </c>
      <c r="G26" s="80">
        <f t="shared" si="0"/>
        <v>0.03347280334728033</v>
      </c>
      <c r="H26" s="93">
        <f>'2016'!C21+'2017'!C22+'2018'!C21+C26</f>
        <v>3</v>
      </c>
      <c r="I26" s="93">
        <f>'2016'!G21+'2017'!G22+'2018'!G21+F26</f>
        <v>27</v>
      </c>
      <c r="J26" s="81">
        <f t="shared" si="1"/>
        <v>0.02089783281733746</v>
      </c>
    </row>
    <row r="27" spans="1:10" ht="12.75">
      <c r="A27" s="79" t="s">
        <v>795</v>
      </c>
      <c r="B27" s="79" t="s">
        <v>796</v>
      </c>
      <c r="C27" s="79">
        <v>1</v>
      </c>
      <c r="D27" s="79">
        <v>2</v>
      </c>
      <c r="E27" s="79">
        <v>1</v>
      </c>
      <c r="F27" s="9">
        <v>3</v>
      </c>
      <c r="G27" s="80">
        <f t="shared" si="0"/>
        <v>0.012552301255230125</v>
      </c>
      <c r="H27" s="93">
        <f>C27</f>
        <v>1</v>
      </c>
      <c r="I27" s="93">
        <f>F27</f>
        <v>3</v>
      </c>
      <c r="J27" s="81">
        <f t="shared" si="1"/>
        <v>0.0023219814241486067</v>
      </c>
    </row>
    <row r="28" spans="1:10" ht="12.75">
      <c r="A28" s="79" t="s">
        <v>797</v>
      </c>
      <c r="B28" s="79" t="s">
        <v>798</v>
      </c>
      <c r="C28" s="79">
        <v>1</v>
      </c>
      <c r="D28" s="79">
        <v>2</v>
      </c>
      <c r="E28" s="79">
        <v>5</v>
      </c>
      <c r="F28" s="9">
        <v>7</v>
      </c>
      <c r="G28" s="80">
        <f t="shared" si="0"/>
        <v>0.029288702928870293</v>
      </c>
      <c r="H28" s="93">
        <f>C28</f>
        <v>1</v>
      </c>
      <c r="I28" s="93">
        <f>F28</f>
        <v>7</v>
      </c>
      <c r="J28" s="81">
        <f t="shared" si="1"/>
        <v>0.005417956656346749</v>
      </c>
    </row>
    <row r="29" spans="1:10" ht="12.75">
      <c r="A29" s="86" t="s">
        <v>643</v>
      </c>
      <c r="B29" s="79" t="s">
        <v>644</v>
      </c>
      <c r="C29" s="79"/>
      <c r="D29" s="79"/>
      <c r="E29" s="79"/>
      <c r="F29" s="9">
        <f>SUM(D29+E29)</f>
        <v>0</v>
      </c>
      <c r="G29" s="80">
        <f t="shared" si="0"/>
        <v>0</v>
      </c>
      <c r="H29" s="93">
        <f>'2016'!C22+'2017'!C23+C29</f>
        <v>2</v>
      </c>
      <c r="I29" s="93">
        <f>'2014'!G21+'2015'!G18+'2017'!G22+F29</f>
        <v>25</v>
      </c>
      <c r="J29" s="81">
        <f t="shared" si="1"/>
        <v>0.01934984520123839</v>
      </c>
    </row>
    <row r="30" spans="1:10" ht="12.75">
      <c r="A30" s="86" t="s">
        <v>660</v>
      </c>
      <c r="B30" s="79" t="s">
        <v>661</v>
      </c>
      <c r="C30" s="79"/>
      <c r="D30" s="79"/>
      <c r="E30" s="79"/>
      <c r="F30" s="9">
        <f>SUM(D30+E30)</f>
        <v>0</v>
      </c>
      <c r="G30" s="80">
        <f t="shared" si="0"/>
        <v>0</v>
      </c>
      <c r="H30" s="93">
        <f>'2016'!C24+'2017'!C25+C30</f>
        <v>2</v>
      </c>
      <c r="I30" s="93">
        <f>'2014'!G23+'2015'!G20+'2017'!G23+F30</f>
        <v>34</v>
      </c>
      <c r="J30" s="81">
        <f t="shared" si="1"/>
        <v>0.02631578947368421</v>
      </c>
    </row>
    <row r="31" spans="1:10" ht="12.75">
      <c r="A31" s="86" t="s">
        <v>771</v>
      </c>
      <c r="B31" s="79" t="s">
        <v>772</v>
      </c>
      <c r="C31" s="79">
        <v>1</v>
      </c>
      <c r="D31" s="79">
        <v>5</v>
      </c>
      <c r="E31" s="79">
        <v>7</v>
      </c>
      <c r="F31" s="9">
        <f>SUM(D31+E31)</f>
        <v>12</v>
      </c>
      <c r="G31" s="80">
        <f t="shared" si="0"/>
        <v>0.0502092050209205</v>
      </c>
      <c r="H31" s="93">
        <f>'2018'!C25+C31</f>
        <v>2</v>
      </c>
      <c r="I31" s="93">
        <f>'2014'!G24+'2015'!G21+'2017'!G24+'2018'!G25+F31</f>
        <v>20</v>
      </c>
      <c r="J31" s="81">
        <f t="shared" si="1"/>
        <v>0.015479876160990712</v>
      </c>
    </row>
    <row r="32" spans="1:10" ht="12.75">
      <c r="A32" s="86" t="s">
        <v>799</v>
      </c>
      <c r="B32" s="79" t="s">
        <v>800</v>
      </c>
      <c r="C32" s="79">
        <v>1</v>
      </c>
      <c r="D32" s="79">
        <v>1</v>
      </c>
      <c r="E32" s="79">
        <v>6</v>
      </c>
      <c r="F32" s="9">
        <v>7</v>
      </c>
      <c r="G32" s="80">
        <f t="shared" si="0"/>
        <v>0.029288702928870293</v>
      </c>
      <c r="H32" s="93">
        <f>C32</f>
        <v>1</v>
      </c>
      <c r="I32" s="93">
        <f>F32</f>
        <v>7</v>
      </c>
      <c r="J32" s="81">
        <f t="shared" si="1"/>
        <v>0.005417956656346749</v>
      </c>
    </row>
    <row r="33" spans="1:10" ht="12.75">
      <c r="A33" s="79" t="s">
        <v>626</v>
      </c>
      <c r="B33" s="79" t="s">
        <v>627</v>
      </c>
      <c r="C33" s="79"/>
      <c r="D33" s="79"/>
      <c r="E33" s="79"/>
      <c r="F33" s="9">
        <f>SUM(D33+E33)</f>
        <v>0</v>
      </c>
      <c r="G33" s="80">
        <f t="shared" si="0"/>
        <v>0</v>
      </c>
      <c r="H33" s="93">
        <f>'2015'!C22+'2016'!C22+'2017'!C27+C33</f>
        <v>2</v>
      </c>
      <c r="I33" s="93">
        <f>'2015'!G22+'2016'!G22+F33</f>
        <v>19</v>
      </c>
      <c r="J33" s="81">
        <f t="shared" si="1"/>
        <v>0.014705882352941176</v>
      </c>
    </row>
    <row r="34" spans="1:10" ht="12.75">
      <c r="A34" s="79" t="s">
        <v>662</v>
      </c>
      <c r="B34" s="79" t="s">
        <v>663</v>
      </c>
      <c r="C34" s="79"/>
      <c r="D34" s="79"/>
      <c r="E34" s="79"/>
      <c r="F34" s="9">
        <f>SUM(D34+E34)</f>
        <v>0</v>
      </c>
      <c r="G34" s="80">
        <f t="shared" si="0"/>
        <v>0</v>
      </c>
      <c r="H34" s="93">
        <f>'2015'!C24+'2017'!C25+C34</f>
        <v>3</v>
      </c>
      <c r="I34" s="93">
        <f>'2015'!G24+'2017'!G25+F34</f>
        <v>25</v>
      </c>
      <c r="J34" s="81">
        <f t="shared" si="1"/>
        <v>0.01934984520123839</v>
      </c>
    </row>
    <row r="35" spans="1:10" ht="12.75">
      <c r="A35" s="79" t="s">
        <v>701</v>
      </c>
      <c r="B35" s="79" t="s">
        <v>702</v>
      </c>
      <c r="C35" s="79"/>
      <c r="D35" s="79"/>
      <c r="E35" s="79"/>
      <c r="F35" s="9">
        <f>SUM(D35+E35)</f>
        <v>0</v>
      </c>
      <c r="G35" s="80">
        <f aca="true" t="shared" si="3" ref="G35:G66">F35/$F$84</f>
        <v>0</v>
      </c>
      <c r="H35" s="93">
        <f>'2016'!C24+'2017'!C25+C35</f>
        <v>2</v>
      </c>
      <c r="I35" s="93">
        <f>'2015'!G25+'2016'!G25+F35</f>
        <v>19</v>
      </c>
      <c r="J35" s="81">
        <f aca="true" t="shared" si="4" ref="J35:J66">I35/$I$84</f>
        <v>0.014705882352941176</v>
      </c>
    </row>
    <row r="36" spans="1:10" ht="12.75">
      <c r="A36" s="79" t="s">
        <v>681</v>
      </c>
      <c r="B36" s="79" t="s">
        <v>682</v>
      </c>
      <c r="C36" s="79"/>
      <c r="D36" s="79"/>
      <c r="E36" s="79"/>
      <c r="F36" s="9">
        <f>SUM(D36+E36)</f>
        <v>0</v>
      </c>
      <c r="G36" s="80">
        <f t="shared" si="3"/>
        <v>0</v>
      </c>
      <c r="H36" s="93">
        <f>'2015'!C26+C36</f>
        <v>1</v>
      </c>
      <c r="I36" s="93">
        <f>'2015'!G26+F36</f>
        <v>7</v>
      </c>
      <c r="J36" s="81">
        <f t="shared" si="4"/>
        <v>0.005417956656346749</v>
      </c>
    </row>
    <row r="37" spans="1:10" ht="12.75">
      <c r="A37" s="79" t="s">
        <v>703</v>
      </c>
      <c r="B37" s="79" t="s">
        <v>704</v>
      </c>
      <c r="C37" s="79">
        <v>2</v>
      </c>
      <c r="D37" s="79">
        <v>5</v>
      </c>
      <c r="E37" s="79">
        <v>7</v>
      </c>
      <c r="F37" s="9">
        <f>SUM(D37+E37)</f>
        <v>12</v>
      </c>
      <c r="G37" s="80">
        <f t="shared" si="3"/>
        <v>0.0502092050209205</v>
      </c>
      <c r="H37" s="93">
        <f>+'2015'!C27+C37</f>
        <v>3</v>
      </c>
      <c r="I37" s="93">
        <f>'2015'!G27+F37</f>
        <v>19</v>
      </c>
      <c r="J37" s="81">
        <f t="shared" si="4"/>
        <v>0.014705882352941176</v>
      </c>
    </row>
    <row r="38" spans="1:10" ht="12.75">
      <c r="A38" s="79" t="s">
        <v>729</v>
      </c>
      <c r="B38" s="79" t="s">
        <v>706</v>
      </c>
      <c r="C38" s="79"/>
      <c r="D38" s="79"/>
      <c r="E38" s="79"/>
      <c r="F38" s="9">
        <v>0</v>
      </c>
      <c r="G38" s="80">
        <f t="shared" si="3"/>
        <v>0</v>
      </c>
      <c r="H38" s="93">
        <f>'2015'!C29+C38</f>
        <v>1</v>
      </c>
      <c r="I38" s="93">
        <f>'2015'!G29+F38</f>
        <v>6</v>
      </c>
      <c r="J38" s="81">
        <f t="shared" si="4"/>
        <v>0.0046439628482972135</v>
      </c>
    </row>
    <row r="39" spans="1:10" ht="12.75">
      <c r="A39" s="79" t="s">
        <v>707</v>
      </c>
      <c r="B39" s="79" t="s">
        <v>708</v>
      </c>
      <c r="C39" s="79"/>
      <c r="D39" s="79"/>
      <c r="E39" s="79"/>
      <c r="F39" s="9">
        <f>SUM(D39+E39)</f>
        <v>0</v>
      </c>
      <c r="G39" s="80">
        <f t="shared" si="3"/>
        <v>0</v>
      </c>
      <c r="H39" s="93">
        <f>'2015'!C30+C39</f>
        <v>1</v>
      </c>
      <c r="I39" s="93">
        <f>'2015'!G30+F39</f>
        <v>9</v>
      </c>
      <c r="J39" s="81">
        <f t="shared" si="4"/>
        <v>0.00696594427244582</v>
      </c>
    </row>
    <row r="40" spans="1:10" ht="12.75">
      <c r="A40" s="79" t="s">
        <v>758</v>
      </c>
      <c r="B40" s="79" t="s">
        <v>759</v>
      </c>
      <c r="C40" s="79"/>
      <c r="D40" s="79"/>
      <c r="E40" s="79"/>
      <c r="F40" s="9">
        <f>SUM(D40+E40)</f>
        <v>0</v>
      </c>
      <c r="G40" s="80">
        <f t="shared" si="3"/>
        <v>0</v>
      </c>
      <c r="H40" s="93">
        <f>'2017'!C35+C40</f>
        <v>1</v>
      </c>
      <c r="I40" s="93">
        <f>'2017'!G32+F40</f>
        <v>4</v>
      </c>
      <c r="J40" s="81">
        <f t="shared" si="4"/>
        <v>0.0030959752321981426</v>
      </c>
    </row>
    <row r="41" spans="1:10" ht="12.75">
      <c r="A41" s="79" t="s">
        <v>801</v>
      </c>
      <c r="B41" s="79" t="s">
        <v>802</v>
      </c>
      <c r="C41" s="79">
        <v>1</v>
      </c>
      <c r="D41" s="79">
        <v>2</v>
      </c>
      <c r="E41" s="79">
        <v>3</v>
      </c>
      <c r="F41" s="9">
        <v>5</v>
      </c>
      <c r="G41" s="80">
        <f t="shared" si="3"/>
        <v>0.02092050209205021</v>
      </c>
      <c r="H41" s="93">
        <f>C41</f>
        <v>1</v>
      </c>
      <c r="I41" s="93">
        <f>F41</f>
        <v>5</v>
      </c>
      <c r="J41" s="81">
        <f t="shared" si="4"/>
        <v>0.003869969040247678</v>
      </c>
    </row>
    <row r="42" spans="1:10" ht="12.75">
      <c r="A42" s="79" t="s">
        <v>730</v>
      </c>
      <c r="B42" s="79" t="s">
        <v>731</v>
      </c>
      <c r="C42" s="79"/>
      <c r="D42" s="79"/>
      <c r="E42" s="79"/>
      <c r="F42" s="9">
        <f>SUM(D42+E42)</f>
        <v>0</v>
      </c>
      <c r="G42" s="80">
        <f t="shared" si="3"/>
        <v>0</v>
      </c>
      <c r="H42" s="93">
        <f>'2016'!C31+'2017'!C33+C42</f>
        <v>3</v>
      </c>
      <c r="I42" s="93">
        <f>'2016'!G31+'2017'!G33+F42</f>
        <v>21</v>
      </c>
      <c r="J42" s="81">
        <f t="shared" si="4"/>
        <v>0.016253869969040248</v>
      </c>
    </row>
    <row r="43" spans="1:10" ht="12.75">
      <c r="A43" s="86" t="s">
        <v>693</v>
      </c>
      <c r="B43" s="79" t="s">
        <v>694</v>
      </c>
      <c r="C43" s="79"/>
      <c r="D43" s="79"/>
      <c r="E43" s="79"/>
      <c r="F43" s="9">
        <f>SUM(D43+E43)</f>
        <v>0</v>
      </c>
      <c r="G43" s="80">
        <f t="shared" si="3"/>
        <v>0</v>
      </c>
      <c r="H43" s="93">
        <f>'2015'!C72+'2016'!C32+'2017'!C34+'2018'!C36+C43</f>
        <v>6</v>
      </c>
      <c r="I43" s="93">
        <f>'2015'!G72+'2016'!G32+'2017'!G34+'2018'!G36+F43</f>
        <v>51</v>
      </c>
      <c r="J43" s="81">
        <f t="shared" si="4"/>
        <v>0.039473684210526314</v>
      </c>
    </row>
    <row r="44" spans="1:10" ht="12.75">
      <c r="A44" s="86" t="s">
        <v>803</v>
      </c>
      <c r="B44" s="79" t="s">
        <v>804</v>
      </c>
      <c r="C44" s="79">
        <v>1</v>
      </c>
      <c r="D44" s="79">
        <v>7</v>
      </c>
      <c r="E44" s="79">
        <v>6</v>
      </c>
      <c r="F44" s="9">
        <v>13</v>
      </c>
      <c r="G44" s="80">
        <f t="shared" si="3"/>
        <v>0.05439330543933055</v>
      </c>
      <c r="H44" s="93">
        <f>C44</f>
        <v>1</v>
      </c>
      <c r="I44" s="93">
        <f>F44</f>
        <v>13</v>
      </c>
      <c r="J44" s="81">
        <f t="shared" si="4"/>
        <v>0.010061919504643963</v>
      </c>
    </row>
    <row r="45" spans="1:10" ht="12.75">
      <c r="A45" s="79" t="s">
        <v>709</v>
      </c>
      <c r="B45" s="79" t="s">
        <v>710</v>
      </c>
      <c r="C45" s="79">
        <v>1</v>
      </c>
      <c r="D45" s="79">
        <v>2</v>
      </c>
      <c r="E45" s="79">
        <v>1</v>
      </c>
      <c r="F45" s="9">
        <f aca="true" t="shared" si="5" ref="F45:F51">SUM(D45+E45)</f>
        <v>3</v>
      </c>
      <c r="G45" s="80">
        <f t="shared" si="3"/>
        <v>0.012552301255230125</v>
      </c>
      <c r="H45" s="93">
        <f>'2015'!C32+'2016'!C33+'2017'!C35+'2018'!C37+C45</f>
        <v>5</v>
      </c>
      <c r="I45" s="93">
        <f>'2015'!G32+'2016'!G33+'2017'!G35+'2018'!G37+F45</f>
        <v>40</v>
      </c>
      <c r="J45" s="81">
        <f t="shared" si="4"/>
        <v>0.030959752321981424</v>
      </c>
    </row>
    <row r="46" spans="1:10" ht="12.75">
      <c r="A46" s="79" t="s">
        <v>711</v>
      </c>
      <c r="B46" s="79" t="s">
        <v>712</v>
      </c>
      <c r="C46" s="79">
        <v>1</v>
      </c>
      <c r="D46" s="79">
        <v>5</v>
      </c>
      <c r="E46" s="79">
        <v>2</v>
      </c>
      <c r="F46" s="9">
        <f t="shared" si="5"/>
        <v>7</v>
      </c>
      <c r="G46" s="80">
        <f t="shared" si="3"/>
        <v>0.029288702928870293</v>
      </c>
      <c r="H46" s="93">
        <f>'2016'!C38+'2017'!C39+C46</f>
        <v>2</v>
      </c>
      <c r="I46" s="93">
        <f>'2015'!G35+F46</f>
        <v>15</v>
      </c>
      <c r="J46" s="81">
        <f t="shared" si="4"/>
        <v>0.011609907120743035</v>
      </c>
    </row>
    <row r="47" spans="1:10" ht="12.75">
      <c r="A47" s="86" t="s">
        <v>631</v>
      </c>
      <c r="B47" s="79" t="s">
        <v>632</v>
      </c>
      <c r="C47" s="79"/>
      <c r="D47" s="79"/>
      <c r="E47" s="79"/>
      <c r="F47" s="9">
        <f t="shared" si="5"/>
        <v>0</v>
      </c>
      <c r="G47" s="80">
        <f t="shared" si="3"/>
        <v>0</v>
      </c>
      <c r="H47" s="93">
        <f>'2015'!C37+'2016'!C37+C47</f>
        <v>4</v>
      </c>
      <c r="I47" s="93">
        <f>'2015'!G37+'2016'!G37</f>
        <v>29</v>
      </c>
      <c r="J47" s="81">
        <f t="shared" si="4"/>
        <v>0.02244582043343653</v>
      </c>
    </row>
    <row r="48" spans="1:10" ht="12.75">
      <c r="A48" s="79" t="s">
        <v>732</v>
      </c>
      <c r="B48" s="79" t="s">
        <v>733</v>
      </c>
      <c r="C48" s="79">
        <v>1</v>
      </c>
      <c r="D48" s="79">
        <v>4</v>
      </c>
      <c r="E48" s="79">
        <v>3</v>
      </c>
      <c r="F48" s="9">
        <f t="shared" si="5"/>
        <v>7</v>
      </c>
      <c r="G48" s="80">
        <f t="shared" si="3"/>
        <v>0.029288702928870293</v>
      </c>
      <c r="H48" s="93">
        <f>'2016'!C39+'2017'!C39+'2018'!C40+C48</f>
        <v>4</v>
      </c>
      <c r="I48" s="93">
        <f>'2016'!G39+'2017'!G39+'2018'!F40+F48</f>
        <v>28</v>
      </c>
      <c r="J48" s="81">
        <f t="shared" si="4"/>
        <v>0.021671826625386997</v>
      </c>
    </row>
    <row r="49" spans="1:10" ht="12.75">
      <c r="A49" s="79" t="s">
        <v>734</v>
      </c>
      <c r="B49" s="79" t="s">
        <v>735</v>
      </c>
      <c r="C49" s="79">
        <v>1</v>
      </c>
      <c r="D49" s="79">
        <v>4</v>
      </c>
      <c r="E49" s="79">
        <v>4</v>
      </c>
      <c r="F49" s="9">
        <f t="shared" si="5"/>
        <v>8</v>
      </c>
      <c r="G49" s="80">
        <f t="shared" si="3"/>
        <v>0.03347280334728033</v>
      </c>
      <c r="H49" s="93">
        <f>'2016'!C40+'2017'!C40+'2018'!C41+C49</f>
        <v>4</v>
      </c>
      <c r="I49" s="93">
        <f>'2016'!G40+'2017'!G40+'2018'!G41+F49</f>
        <v>35</v>
      </c>
      <c r="J49" s="81">
        <f t="shared" si="4"/>
        <v>0.027089783281733747</v>
      </c>
    </row>
    <row r="50" spans="1:10" ht="12.75">
      <c r="A50" s="79" t="s">
        <v>715</v>
      </c>
      <c r="B50" s="79" t="s">
        <v>736</v>
      </c>
      <c r="C50" s="79"/>
      <c r="D50" s="79"/>
      <c r="E50" s="79"/>
      <c r="F50" s="9">
        <f t="shared" si="5"/>
        <v>0</v>
      </c>
      <c r="G50" s="80">
        <f t="shared" si="3"/>
        <v>0</v>
      </c>
      <c r="H50" s="93">
        <f>'2016'!C42+'2017'!C43+C50</f>
        <v>1</v>
      </c>
      <c r="I50" s="93">
        <f>'2015'!G41+F50</f>
        <v>6</v>
      </c>
      <c r="J50" s="81">
        <f t="shared" si="4"/>
        <v>0.0046439628482972135</v>
      </c>
    </row>
    <row r="51" spans="1:10" ht="12.75">
      <c r="A51" s="86" t="s">
        <v>150</v>
      </c>
      <c r="B51" s="79" t="s">
        <v>668</v>
      </c>
      <c r="C51" s="79"/>
      <c r="D51" s="79"/>
      <c r="E51" s="79"/>
      <c r="F51" s="9">
        <f t="shared" si="5"/>
        <v>0</v>
      </c>
      <c r="G51" s="80">
        <f t="shared" si="3"/>
        <v>0</v>
      </c>
      <c r="H51" s="93">
        <f>'2015'!C42+'2016'!C43+'2017'!C43+C51</f>
        <v>5</v>
      </c>
      <c r="I51" s="93">
        <f>'2015'!G42+'2016'!G43+'2017'!G43+F51</f>
        <v>40</v>
      </c>
      <c r="J51" s="81">
        <f t="shared" si="4"/>
        <v>0.030959752321981424</v>
      </c>
    </row>
    <row r="52" spans="1:10" ht="12.75">
      <c r="A52" s="86" t="s">
        <v>805</v>
      </c>
      <c r="B52" s="79" t="s">
        <v>806</v>
      </c>
      <c r="C52" s="79">
        <v>1</v>
      </c>
      <c r="D52" s="79">
        <v>4</v>
      </c>
      <c r="E52" s="79">
        <v>6</v>
      </c>
      <c r="F52" s="9">
        <v>10</v>
      </c>
      <c r="G52" s="80">
        <f t="shared" si="3"/>
        <v>0.04184100418410042</v>
      </c>
      <c r="H52" s="93">
        <f>C52</f>
        <v>1</v>
      </c>
      <c r="I52" s="93">
        <f>F52</f>
        <v>10</v>
      </c>
      <c r="J52" s="81">
        <f t="shared" si="4"/>
        <v>0.007739938080495356</v>
      </c>
    </row>
    <row r="53" spans="1:10" ht="12.75">
      <c r="A53" s="79" t="s">
        <v>737</v>
      </c>
      <c r="B53" s="79" t="s">
        <v>738</v>
      </c>
      <c r="C53" s="79"/>
      <c r="D53" s="79"/>
      <c r="E53" s="79"/>
      <c r="F53" s="9">
        <f aca="true" t="shared" si="6" ref="F53:F62">SUM(D53+E53)</f>
        <v>0</v>
      </c>
      <c r="G53" s="80">
        <f t="shared" si="3"/>
        <v>0</v>
      </c>
      <c r="H53" s="93">
        <f>'2016'!C46+C53</f>
        <v>1</v>
      </c>
      <c r="I53" s="93">
        <f>'2016'!G46+F53</f>
        <v>7</v>
      </c>
      <c r="J53" s="81">
        <f t="shared" si="4"/>
        <v>0.005417956656346749</v>
      </c>
    </row>
    <row r="54" spans="1:10" ht="12.75">
      <c r="A54" s="79" t="s">
        <v>774</v>
      </c>
      <c r="B54" s="79" t="s">
        <v>775</v>
      </c>
      <c r="C54" s="79"/>
      <c r="D54" s="79"/>
      <c r="E54" s="79"/>
      <c r="F54" s="9">
        <f t="shared" si="6"/>
        <v>0</v>
      </c>
      <c r="G54" s="80">
        <f t="shared" si="3"/>
        <v>0</v>
      </c>
      <c r="H54" s="93">
        <f>'2018'!C45+C54</f>
        <v>1</v>
      </c>
      <c r="I54" s="93">
        <f>'2018'!G45+F54</f>
        <v>6</v>
      </c>
      <c r="J54" s="81">
        <f t="shared" si="4"/>
        <v>0.0046439628482972135</v>
      </c>
    </row>
    <row r="55" spans="1:10" ht="12.75">
      <c r="A55" s="79" t="s">
        <v>669</v>
      </c>
      <c r="B55" s="79" t="s">
        <v>670</v>
      </c>
      <c r="C55" s="79"/>
      <c r="D55" s="79"/>
      <c r="E55" s="79"/>
      <c r="F55" s="9">
        <f t="shared" si="6"/>
        <v>0</v>
      </c>
      <c r="G55" s="80">
        <f t="shared" si="3"/>
        <v>0</v>
      </c>
      <c r="H55" s="93">
        <f>'2015'!C47+'2017'!C47+C55</f>
        <v>3</v>
      </c>
      <c r="I55" s="93">
        <f>'2015'!G47+'2017'!G47+F55</f>
        <v>21</v>
      </c>
      <c r="J55" s="81">
        <f t="shared" si="4"/>
        <v>0.016253869969040248</v>
      </c>
    </row>
    <row r="56" spans="1:11" ht="12.75">
      <c r="A56" s="86" t="s">
        <v>588</v>
      </c>
      <c r="B56" s="79" t="s">
        <v>589</v>
      </c>
      <c r="C56" s="79"/>
      <c r="D56" s="79"/>
      <c r="E56" s="79"/>
      <c r="F56" s="9">
        <f t="shared" si="6"/>
        <v>0</v>
      </c>
      <c r="G56" s="80">
        <f t="shared" si="3"/>
        <v>0</v>
      </c>
      <c r="H56" s="93">
        <f>'2015'!C50+'2016'!C50</f>
        <v>4</v>
      </c>
      <c r="I56" s="93">
        <f>'2015'!G50+'2016'!G50</f>
        <v>36</v>
      </c>
      <c r="J56" s="81">
        <f t="shared" si="4"/>
        <v>0.02786377708978328</v>
      </c>
      <c r="K56" t="s">
        <v>180</v>
      </c>
    </row>
    <row r="57" spans="1:10" ht="12.75">
      <c r="A57" s="86" t="s">
        <v>740</v>
      </c>
      <c r="B57" s="79" t="s">
        <v>741</v>
      </c>
      <c r="C57" s="79"/>
      <c r="D57" s="79"/>
      <c r="E57" s="79"/>
      <c r="F57" s="9">
        <f t="shared" si="6"/>
        <v>0</v>
      </c>
      <c r="G57" s="80">
        <f t="shared" si="3"/>
        <v>0</v>
      </c>
      <c r="H57" s="93">
        <f>'2016'!C51+'2018'!C49+C57</f>
        <v>2</v>
      </c>
      <c r="I57" s="93">
        <f>'2016'!G51+F57+'2018'!G49</f>
        <v>16</v>
      </c>
      <c r="J57" s="81">
        <f t="shared" si="4"/>
        <v>0.01238390092879257</v>
      </c>
    </row>
    <row r="58" spans="1:10" ht="12.75">
      <c r="A58" s="86" t="s">
        <v>685</v>
      </c>
      <c r="B58" s="79" t="s">
        <v>686</v>
      </c>
      <c r="C58" s="79"/>
      <c r="D58" s="79"/>
      <c r="E58" s="79"/>
      <c r="F58" s="9">
        <f t="shared" si="6"/>
        <v>0</v>
      </c>
      <c r="G58" s="80">
        <f t="shared" si="3"/>
        <v>0</v>
      </c>
      <c r="H58" s="93">
        <f>'2015'!C51+'2016'!C52+'2017'!C51+'2018'!C50+C58</f>
        <v>9</v>
      </c>
      <c r="I58" s="93">
        <f>'2015'!G51+'2016'!G52+'2017'!G51+'2018'!G50+F58</f>
        <v>59</v>
      </c>
      <c r="J58" s="85">
        <f t="shared" si="4"/>
        <v>0.0456656346749226</v>
      </c>
    </row>
    <row r="59" spans="1:10" ht="12.75">
      <c r="A59" s="86" t="s">
        <v>742</v>
      </c>
      <c r="B59" s="79" t="s">
        <v>743</v>
      </c>
      <c r="C59" s="79"/>
      <c r="D59" s="79"/>
      <c r="F59" s="9">
        <f t="shared" si="6"/>
        <v>0</v>
      </c>
      <c r="G59" s="80">
        <f t="shared" si="3"/>
        <v>0</v>
      </c>
      <c r="H59" s="93">
        <f>'2016'!C53+'2017'!C52+'2018'!C51+C59</f>
        <v>8</v>
      </c>
      <c r="I59" s="93">
        <f>'2016'!G53+'2017'!G52+'2018'!G51+F59</f>
        <v>64</v>
      </c>
      <c r="J59" s="83">
        <f t="shared" si="4"/>
        <v>0.04953560371517028</v>
      </c>
    </row>
    <row r="60" spans="1:10" ht="12.75">
      <c r="A60" s="79" t="s">
        <v>744</v>
      </c>
      <c r="B60" s="79" t="s">
        <v>745</v>
      </c>
      <c r="C60" s="79">
        <v>2</v>
      </c>
      <c r="D60" s="79">
        <v>9</v>
      </c>
      <c r="E60" s="79">
        <v>8</v>
      </c>
      <c r="F60" s="9">
        <f t="shared" si="6"/>
        <v>17</v>
      </c>
      <c r="G60" s="80">
        <f t="shared" si="3"/>
        <v>0.07112970711297072</v>
      </c>
      <c r="H60" s="93">
        <f>'2016'!C52+'2017'!C53+'2018'!C52+C60</f>
        <v>7</v>
      </c>
      <c r="I60" s="93">
        <f>'2016'!G55+'2017'!G53+'2018'!G52+F60</f>
        <v>63</v>
      </c>
      <c r="J60" s="85">
        <f t="shared" si="4"/>
        <v>0.048761609907120744</v>
      </c>
    </row>
    <row r="61" spans="1:10" ht="12.75">
      <c r="A61" s="79" t="s">
        <v>760</v>
      </c>
      <c r="B61" s="79" t="s">
        <v>761</v>
      </c>
      <c r="C61" s="79"/>
      <c r="D61" s="79"/>
      <c r="E61" s="79"/>
      <c r="F61" s="9">
        <f t="shared" si="6"/>
        <v>0</v>
      </c>
      <c r="G61" s="80">
        <f t="shared" si="3"/>
        <v>0</v>
      </c>
      <c r="H61" s="93">
        <f>'2017'!C54+C61</f>
        <v>1</v>
      </c>
      <c r="I61" s="93">
        <f>'2017'!G54+F61</f>
        <v>9</v>
      </c>
      <c r="J61" s="81">
        <f t="shared" si="4"/>
        <v>0.00696594427244582</v>
      </c>
    </row>
    <row r="62" spans="1:10" ht="12.75">
      <c r="A62" s="79" t="s">
        <v>777</v>
      </c>
      <c r="B62" s="79" t="s">
        <v>778</v>
      </c>
      <c r="C62" s="79"/>
      <c r="D62" s="79"/>
      <c r="E62" s="79"/>
      <c r="F62" s="9">
        <f t="shared" si="6"/>
        <v>0</v>
      </c>
      <c r="G62" s="80">
        <f t="shared" si="3"/>
        <v>0</v>
      </c>
      <c r="H62" s="93">
        <f>'2018'!C54+C62</f>
        <v>3</v>
      </c>
      <c r="I62" s="93">
        <f>'2018'!G54+F62</f>
        <v>23</v>
      </c>
      <c r="J62" s="81">
        <f t="shared" si="4"/>
        <v>0.01780185758513932</v>
      </c>
    </row>
    <row r="63" spans="1:10" ht="12.75">
      <c r="A63" s="79" t="s">
        <v>762</v>
      </c>
      <c r="B63" s="79"/>
      <c r="C63" s="88"/>
      <c r="D63" s="88"/>
      <c r="E63" s="88"/>
      <c r="F63" s="9"/>
      <c r="G63" s="80"/>
      <c r="H63" s="95"/>
      <c r="I63" s="93"/>
      <c r="J63" s="81"/>
    </row>
    <row r="64" spans="1:10" ht="12.75">
      <c r="A64" s="79"/>
      <c r="B64" s="79"/>
      <c r="C64" s="79"/>
      <c r="D64" s="79"/>
      <c r="E64" s="79"/>
      <c r="G64" s="80"/>
      <c r="H64" s="95"/>
      <c r="I64" s="95"/>
      <c r="J64" s="81"/>
    </row>
    <row r="65" spans="1:10" ht="12.75">
      <c r="A65" s="79"/>
      <c r="B65" s="79"/>
      <c r="C65" s="79"/>
      <c r="D65" s="79"/>
      <c r="E65" s="79"/>
      <c r="G65" s="80"/>
      <c r="I65" s="95"/>
      <c r="J65" s="81"/>
    </row>
    <row r="66" spans="1:10" ht="12.75">
      <c r="A66" s="79" t="s">
        <v>687</v>
      </c>
      <c r="B66" s="79" t="s">
        <v>688</v>
      </c>
      <c r="C66" s="79"/>
      <c r="D66" s="79"/>
      <c r="E66" s="79"/>
      <c r="F66" s="9">
        <f aca="true" t="shared" si="7" ref="F66:F72">SUM(D66+E66)</f>
        <v>0</v>
      </c>
      <c r="G66" s="80">
        <f aca="true" t="shared" si="8" ref="G66:G76">F66/$F$84</f>
        <v>0</v>
      </c>
      <c r="H66" s="93">
        <f>'2016'!C60+C66</f>
        <v>1</v>
      </c>
      <c r="I66" s="93">
        <f>'2016'!G60+F66</f>
        <v>4</v>
      </c>
      <c r="J66" s="81">
        <f aca="true" t="shared" si="9" ref="J66:J76">I66/$I$84</f>
        <v>0.0030959752321981426</v>
      </c>
    </row>
    <row r="67" spans="1:10" ht="12.75">
      <c r="A67" s="79" t="s">
        <v>746</v>
      </c>
      <c r="B67" s="79" t="s">
        <v>747</v>
      </c>
      <c r="C67" s="79"/>
      <c r="D67" s="79"/>
      <c r="E67" s="79"/>
      <c r="F67" s="9">
        <f t="shared" si="7"/>
        <v>0</v>
      </c>
      <c r="G67" s="80">
        <f t="shared" si="8"/>
        <v>0</v>
      </c>
      <c r="H67" s="93">
        <f>'2016'!C61+'2017'!C60+C67</f>
        <v>2</v>
      </c>
      <c r="I67" s="93">
        <f>'2016'!G61+'2017'!G60+F67</f>
        <v>14</v>
      </c>
      <c r="J67" s="81">
        <f t="shared" si="9"/>
        <v>0.010835913312693499</v>
      </c>
    </row>
    <row r="68" spans="1:10" ht="12.75">
      <c r="A68" s="79" t="s">
        <v>748</v>
      </c>
      <c r="B68" s="79" t="s">
        <v>749</v>
      </c>
      <c r="C68" s="79"/>
      <c r="D68" s="79"/>
      <c r="E68" s="79"/>
      <c r="F68" s="9">
        <f t="shared" si="7"/>
        <v>0</v>
      </c>
      <c r="G68" s="80">
        <f t="shared" si="8"/>
        <v>0</v>
      </c>
      <c r="H68" s="93">
        <f>'2016'!C65</f>
        <v>1</v>
      </c>
      <c r="I68" s="93">
        <f>'2016'!G65</f>
        <v>6</v>
      </c>
      <c r="J68" s="81">
        <f t="shared" si="9"/>
        <v>0.0046439628482972135</v>
      </c>
    </row>
    <row r="69" spans="1:10" ht="12.75">
      <c r="A69" s="79" t="s">
        <v>750</v>
      </c>
      <c r="B69" s="79" t="s">
        <v>751</v>
      </c>
      <c r="C69" s="79"/>
      <c r="D69" s="79"/>
      <c r="E69" s="79"/>
      <c r="F69" s="9">
        <f t="shared" si="7"/>
        <v>0</v>
      </c>
      <c r="G69" s="80">
        <f t="shared" si="8"/>
        <v>0</v>
      </c>
      <c r="H69" s="93">
        <f>'2016'!C66+C69</f>
        <v>1</v>
      </c>
      <c r="I69" s="93">
        <f>'2016'!G66+F69</f>
        <v>9</v>
      </c>
      <c r="J69" s="81">
        <f t="shared" si="9"/>
        <v>0.00696594427244582</v>
      </c>
    </row>
    <row r="70" spans="1:10" ht="12.75">
      <c r="A70" s="79" t="s">
        <v>779</v>
      </c>
      <c r="B70" s="79" t="s">
        <v>780</v>
      </c>
      <c r="C70" s="79"/>
      <c r="D70" s="79"/>
      <c r="E70" s="79"/>
      <c r="F70" s="9">
        <f t="shared" si="7"/>
        <v>0</v>
      </c>
      <c r="G70" s="80">
        <f t="shared" si="8"/>
        <v>0</v>
      </c>
      <c r="H70" s="93">
        <f>'2018'!C63+C70</f>
        <v>1</v>
      </c>
      <c r="I70" s="93">
        <f>'2018'!G63+F70</f>
        <v>6</v>
      </c>
      <c r="J70" s="81">
        <f t="shared" si="9"/>
        <v>0.0046439628482972135</v>
      </c>
    </row>
    <row r="71" spans="1:10" ht="12.75">
      <c r="A71" s="79" t="s">
        <v>689</v>
      </c>
      <c r="B71" s="79" t="s">
        <v>690</v>
      </c>
      <c r="C71" s="79"/>
      <c r="D71" s="79"/>
      <c r="E71" s="79"/>
      <c r="F71" s="9">
        <f t="shared" si="7"/>
        <v>0</v>
      </c>
      <c r="G71" s="80">
        <f t="shared" si="8"/>
        <v>0</v>
      </c>
      <c r="H71" s="93">
        <f>'2015'!C70+C71</f>
        <v>1</v>
      </c>
      <c r="I71" s="93">
        <f>'2015'!G70+F71</f>
        <v>4</v>
      </c>
      <c r="J71" s="81">
        <f t="shared" si="9"/>
        <v>0.0030959752321981426</v>
      </c>
    </row>
    <row r="72" spans="1:10" ht="12.75">
      <c r="A72" s="79" t="s">
        <v>752</v>
      </c>
      <c r="B72" s="79" t="s">
        <v>753</v>
      </c>
      <c r="C72" s="79"/>
      <c r="D72" s="79"/>
      <c r="E72" s="79"/>
      <c r="F72" s="9">
        <f t="shared" si="7"/>
        <v>0</v>
      </c>
      <c r="G72" s="80">
        <f t="shared" si="8"/>
        <v>0</v>
      </c>
      <c r="H72" s="93">
        <f>'2016'!C75+C72</f>
        <v>1</v>
      </c>
      <c r="I72" s="93">
        <f>'2016'!G75+F72</f>
        <v>9</v>
      </c>
      <c r="J72" s="81">
        <f t="shared" si="9"/>
        <v>0.00696594427244582</v>
      </c>
    </row>
    <row r="73" spans="1:10" ht="12.75">
      <c r="A73" s="79" t="s">
        <v>807</v>
      </c>
      <c r="B73" s="79" t="s">
        <v>808</v>
      </c>
      <c r="C73" s="79">
        <v>1</v>
      </c>
      <c r="D73" s="79">
        <v>5</v>
      </c>
      <c r="E73" s="79">
        <v>0</v>
      </c>
      <c r="F73" s="9">
        <v>5</v>
      </c>
      <c r="G73" s="80">
        <f t="shared" si="8"/>
        <v>0.02092050209205021</v>
      </c>
      <c r="H73" s="93">
        <f>C73</f>
        <v>1</v>
      </c>
      <c r="I73" s="93">
        <f>F73</f>
        <v>5</v>
      </c>
      <c r="J73" s="81">
        <f t="shared" si="9"/>
        <v>0.003869969040247678</v>
      </c>
    </row>
    <row r="74" spans="1:10" ht="12.75">
      <c r="A74" s="79" t="s">
        <v>781</v>
      </c>
      <c r="B74" s="79" t="s">
        <v>782</v>
      </c>
      <c r="C74" s="79"/>
      <c r="D74" s="79"/>
      <c r="E74" s="79"/>
      <c r="F74" s="9">
        <f>SUM(D74+E74)</f>
        <v>0</v>
      </c>
      <c r="G74" s="80">
        <f t="shared" si="8"/>
        <v>0</v>
      </c>
      <c r="H74" s="93">
        <f>'2018'!C69+C74</f>
        <v>1</v>
      </c>
      <c r="I74" s="93">
        <f>'2018'!G69+F74</f>
        <v>7</v>
      </c>
      <c r="J74" s="81">
        <f t="shared" si="9"/>
        <v>0.005417956656346749</v>
      </c>
    </row>
    <row r="75" spans="1:10" ht="12.75">
      <c r="A75" s="79" t="s">
        <v>697</v>
      </c>
      <c r="B75" s="79" t="s">
        <v>698</v>
      </c>
      <c r="C75" s="79"/>
      <c r="D75" s="79"/>
      <c r="E75" s="79"/>
      <c r="F75" s="9">
        <f>SUM(D75+E75)</f>
        <v>0</v>
      </c>
      <c r="G75" s="80">
        <f t="shared" si="8"/>
        <v>0</v>
      </c>
      <c r="H75" s="93">
        <f>'2015'!C76+C75</f>
        <v>1</v>
      </c>
      <c r="I75" s="93">
        <f>'2015'!G76+F75</f>
        <v>5</v>
      </c>
      <c r="J75" s="81">
        <f t="shared" si="9"/>
        <v>0.003869969040247678</v>
      </c>
    </row>
    <row r="76" spans="1:10" ht="12.75">
      <c r="A76" s="79" t="s">
        <v>763</v>
      </c>
      <c r="B76" s="79" t="s">
        <v>764</v>
      </c>
      <c r="C76" s="79"/>
      <c r="D76" s="79"/>
      <c r="E76" s="79"/>
      <c r="F76" s="9">
        <f>SUM(D76+E76)</f>
        <v>0</v>
      </c>
      <c r="G76" s="80">
        <f t="shared" si="8"/>
        <v>0</v>
      </c>
      <c r="H76" s="93">
        <f>'2017'!C74+'2018'!C72+C76</f>
        <v>3</v>
      </c>
      <c r="I76" s="93">
        <f>'2017'!G74+'2018'!G72+F76</f>
        <v>17</v>
      </c>
      <c r="J76" s="81">
        <f t="shared" si="9"/>
        <v>0.013157894736842105</v>
      </c>
    </row>
    <row r="77" spans="1:10" ht="12.75">
      <c r="A77" s="79"/>
      <c r="B77" s="79"/>
      <c r="C77" s="79"/>
      <c r="D77" s="79"/>
      <c r="E77" s="79"/>
      <c r="F77" s="9"/>
      <c r="G77" s="80"/>
      <c r="H77" s="93"/>
      <c r="I77" s="93"/>
      <c r="J77" s="81"/>
    </row>
    <row r="78" spans="1:10" ht="12.75">
      <c r="A78" s="79"/>
      <c r="B78" s="79"/>
      <c r="C78" s="88"/>
      <c r="D78" s="88"/>
      <c r="E78" s="88"/>
      <c r="F78" s="9"/>
      <c r="G78" s="80"/>
      <c r="H78" s="95"/>
      <c r="I78" s="93"/>
      <c r="J78" s="81"/>
    </row>
    <row r="79" spans="1:10" ht="12.75">
      <c r="A79" s="79"/>
      <c r="B79" s="79"/>
      <c r="C79" s="79"/>
      <c r="D79" s="88"/>
      <c r="E79" s="88"/>
      <c r="F79" s="9"/>
      <c r="G79" s="80"/>
      <c r="I79" s="93"/>
      <c r="J79" s="81"/>
    </row>
    <row r="80" spans="1:10" ht="12.75">
      <c r="A80" s="79" t="s">
        <v>531</v>
      </c>
      <c r="B80" s="79"/>
      <c r="C80" s="88"/>
      <c r="D80" s="88">
        <f>SUM(D3:D76)</f>
        <v>115</v>
      </c>
      <c r="E80" s="88">
        <f>SUM(E3:E76)</f>
        <v>121</v>
      </c>
      <c r="F80" s="88">
        <f>SUM(F3:F76)</f>
        <v>236</v>
      </c>
      <c r="G80" s="80">
        <f>F80/$F$84</f>
        <v>0.9874476987447699</v>
      </c>
      <c r="H80" s="88"/>
      <c r="I80" s="88">
        <f>SUM(I3:I76)</f>
        <v>1285</v>
      </c>
      <c r="J80" s="81">
        <f>I80/$I$84</f>
        <v>0.9945820433436533</v>
      </c>
    </row>
    <row r="81" spans="1:10" ht="12.75">
      <c r="A81" s="79"/>
      <c r="B81" s="79"/>
      <c r="C81" s="79"/>
      <c r="D81" s="79"/>
      <c r="E81" s="79"/>
      <c r="F81" s="9"/>
      <c r="G81" s="80"/>
      <c r="H81" s="88"/>
      <c r="I81" s="95"/>
      <c r="J81" s="81"/>
    </row>
    <row r="82" spans="1:10" ht="12.75">
      <c r="A82" s="79" t="s">
        <v>462</v>
      </c>
      <c r="B82" s="79"/>
      <c r="C82" s="79">
        <v>3</v>
      </c>
      <c r="D82" s="79">
        <v>3</v>
      </c>
      <c r="E82" s="89">
        <v>0</v>
      </c>
      <c r="F82" s="9">
        <v>3</v>
      </c>
      <c r="G82" s="80">
        <f>F82/$F$84</f>
        <v>0.012552301255230125</v>
      </c>
      <c r="H82" s="88"/>
      <c r="I82" s="93">
        <f>'2014'!G80+F82</f>
        <v>7</v>
      </c>
      <c r="J82" s="81">
        <f>I82/$I$84</f>
        <v>0.005417956656346749</v>
      </c>
    </row>
    <row r="83" spans="1:10" ht="12.75">
      <c r="A83" s="79"/>
      <c r="B83" s="79"/>
      <c r="C83" s="79"/>
      <c r="D83" s="79"/>
      <c r="E83" s="79"/>
      <c r="G83" s="80"/>
      <c r="H83" s="88">
        <f>SUM(H3:H75)</f>
        <v>164</v>
      </c>
      <c r="I83" s="93"/>
      <c r="J83" s="81"/>
    </row>
    <row r="84" spans="1:9" ht="12.75">
      <c r="A84" s="79" t="s">
        <v>533</v>
      </c>
      <c r="B84" s="79"/>
      <c r="C84" s="91">
        <f>SUM(C3:C82)</f>
        <v>36</v>
      </c>
      <c r="D84" s="79">
        <f>D80+D82</f>
        <v>118</v>
      </c>
      <c r="E84" s="88">
        <f>SUM(E3:E76)</f>
        <v>121</v>
      </c>
      <c r="F84" s="9">
        <f>SUM(F80+F82)</f>
        <v>239</v>
      </c>
      <c r="G84" s="80">
        <f>F84/$F$84</f>
        <v>1</v>
      </c>
      <c r="I84" s="93">
        <f>I80+I82</f>
        <v>1292</v>
      </c>
    </row>
    <row r="85" spans="1:10" ht="12.75">
      <c r="A85" s="79"/>
      <c r="B85" s="79"/>
      <c r="C85" s="79"/>
      <c r="D85" s="79"/>
      <c r="E85" s="79"/>
      <c r="J85" s="88"/>
    </row>
    <row r="86" spans="1:10" ht="12.75">
      <c r="A86" s="79"/>
      <c r="B86" s="79"/>
      <c r="C86" s="79"/>
      <c r="D86" s="79"/>
      <c r="E86" s="79"/>
      <c r="H86" s="88"/>
      <c r="J86" s="88"/>
    </row>
    <row r="87" spans="1:10" ht="12.75">
      <c r="A87" s="88" t="s">
        <v>6</v>
      </c>
      <c r="B87" s="79">
        <v>26</v>
      </c>
      <c r="C87" s="88"/>
      <c r="D87" s="88"/>
      <c r="E87" s="88"/>
      <c r="F87" s="88"/>
      <c r="G87" s="88"/>
      <c r="H87" s="88"/>
      <c r="I87" s="88"/>
      <c r="J87" s="88"/>
    </row>
    <row r="88" spans="1:10" ht="12.75">
      <c r="A88" s="88" t="s">
        <v>7</v>
      </c>
      <c r="B88" s="88">
        <v>35</v>
      </c>
      <c r="C88" s="88"/>
      <c r="D88" s="88"/>
      <c r="E88" s="88"/>
      <c r="F88" s="88"/>
      <c r="G88" s="88"/>
      <c r="H88" s="88"/>
      <c r="I88" s="88"/>
      <c r="J88" s="88"/>
    </row>
    <row r="89" spans="1:10" ht="12.75">
      <c r="A89" s="88" t="s">
        <v>563</v>
      </c>
      <c r="B89" s="90">
        <f>4*(B87*B88)/(B87+B88)</f>
        <v>59.67213114754098</v>
      </c>
      <c r="G89" s="88"/>
      <c r="H89" s="88"/>
      <c r="I89" s="88"/>
      <c r="J89" s="88"/>
    </row>
    <row r="90" spans="1:10" ht="12.75">
      <c r="A90" s="88"/>
      <c r="B90" s="88"/>
      <c r="D90" s="88"/>
      <c r="E90" s="88"/>
      <c r="F90" s="88"/>
      <c r="G90" s="88"/>
      <c r="H90" s="88"/>
      <c r="I90" s="88"/>
      <c r="J90" s="88"/>
    </row>
    <row r="91" spans="1:10" ht="12.75">
      <c r="A91" s="88" t="s">
        <v>564</v>
      </c>
      <c r="B91" s="90">
        <f>(B89/B88)*50</f>
        <v>85.24590163934425</v>
      </c>
      <c r="D91" s="88"/>
      <c r="E91" s="88"/>
      <c r="F91" s="88"/>
      <c r="G91" s="88"/>
      <c r="H91" s="88"/>
      <c r="I91" s="88"/>
      <c r="J91" s="88"/>
    </row>
    <row r="92" spans="1:9" ht="12.75">
      <c r="A92" s="88"/>
      <c r="B92" s="88"/>
      <c r="C92" s="88"/>
      <c r="D92" s="88"/>
      <c r="E92" s="88"/>
      <c r="F92" s="88"/>
      <c r="G92" s="88"/>
      <c r="H92" s="88"/>
      <c r="I92" s="88"/>
    </row>
    <row r="93" spans="1:10" ht="12.75">
      <c r="A93" s="88"/>
      <c r="B93" s="88"/>
      <c r="C93" s="88"/>
      <c r="D93" s="88"/>
      <c r="E93" s="88"/>
      <c r="F93" s="88"/>
      <c r="G93" s="88"/>
      <c r="H93" s="88"/>
      <c r="I93" s="88"/>
      <c r="J93" s="88"/>
    </row>
    <row r="94" spans="1:10" ht="12.75">
      <c r="A94" s="88" t="s">
        <v>534</v>
      </c>
      <c r="J94" s="88"/>
    </row>
    <row r="95" spans="1:10" ht="12.75">
      <c r="A95" s="88"/>
      <c r="B95" s="88"/>
      <c r="C95" s="88"/>
      <c r="D95" s="88"/>
      <c r="E95" s="88"/>
      <c r="F95" s="88"/>
      <c r="G95" s="88"/>
      <c r="H95" s="88"/>
      <c r="I95" s="88"/>
      <c r="J95" s="88"/>
    </row>
    <row r="96" spans="1:10" ht="12.75">
      <c r="A96" s="88" t="s">
        <v>6</v>
      </c>
      <c r="B96" s="88">
        <f>'2013'!B91+'2014'!B84+'2015'!B87+'2016'!B91+B87</f>
        <v>140</v>
      </c>
      <c r="C96" s="88"/>
      <c r="D96" s="88"/>
      <c r="E96" s="88"/>
      <c r="F96" s="88"/>
      <c r="G96" s="88"/>
      <c r="H96" s="88"/>
      <c r="I96" s="88"/>
      <c r="J96" s="88"/>
    </row>
    <row r="97" spans="1:10" ht="12.75">
      <c r="A97" s="88" t="s">
        <v>7</v>
      </c>
      <c r="B97" s="88">
        <f>'2013'!B92+'2014'!B85+B88+'2015'!B88+'2016'!B92+B88</f>
        <v>224</v>
      </c>
      <c r="C97" s="88"/>
      <c r="D97" s="88"/>
      <c r="E97" s="88"/>
      <c r="F97" s="88"/>
      <c r="G97" s="88"/>
      <c r="H97" s="88"/>
      <c r="I97" s="88"/>
      <c r="J97" s="88"/>
    </row>
    <row r="98" spans="1:10" ht="12.75">
      <c r="A98" s="88" t="s">
        <v>563</v>
      </c>
      <c r="B98" s="90">
        <f>4*(B96*B97)/(B96+B97)</f>
        <v>344.61538461538464</v>
      </c>
      <c r="C98" s="88"/>
      <c r="D98" s="88"/>
      <c r="E98" s="88"/>
      <c r="F98" s="88"/>
      <c r="G98" s="88"/>
      <c r="H98" s="88"/>
      <c r="I98" s="88"/>
      <c r="J98" s="88"/>
    </row>
    <row r="99" spans="1:9" ht="12.75">
      <c r="A99" s="88"/>
      <c r="B99" s="88"/>
      <c r="C99" s="88"/>
      <c r="D99" s="88"/>
      <c r="E99" s="88"/>
      <c r="F99" s="88"/>
      <c r="G99" s="88"/>
      <c r="H99" s="88"/>
      <c r="I99" s="88"/>
    </row>
    <row r="100" spans="1:9" ht="12.75">
      <c r="A100" s="88" t="s">
        <v>564</v>
      </c>
      <c r="B100" s="90">
        <f>(B98/B97)*50</f>
        <v>76.92307692307693</v>
      </c>
      <c r="C100" s="88"/>
      <c r="D100" s="88"/>
      <c r="E100" s="88"/>
      <c r="F100" s="88"/>
      <c r="G100" s="88"/>
      <c r="I100" s="88"/>
    </row>
  </sheetData>
  <sheetProtection selectLockedCells="1" selectUnlockedCells="1"/>
  <mergeCells count="7">
    <mergeCell ref="K1:K2"/>
    <mergeCell ref="C1:C2"/>
    <mergeCell ref="D1:D2"/>
    <mergeCell ref="E1:E2"/>
    <mergeCell ref="H1:H2"/>
    <mergeCell ref="I1:I2"/>
    <mergeCell ref="J1:J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109"/>
  <sheetViews>
    <sheetView zoomScale="90" zoomScaleNormal="90" zoomScalePageLayoutView="0" workbookViewId="0" topLeftCell="A10">
      <selection activeCell="M94" sqref="M94"/>
    </sheetView>
  </sheetViews>
  <sheetFormatPr defaultColWidth="11.57421875" defaultRowHeight="12.75"/>
  <cols>
    <col min="1" max="1" width="26.8515625" style="0" customWidth="1"/>
    <col min="2" max="2" width="14.7109375" style="0" customWidth="1"/>
    <col min="3" max="7" width="11.57421875" style="0" customWidth="1"/>
    <col min="8" max="8" width="11.28125" style="0" customWidth="1"/>
  </cols>
  <sheetData>
    <row r="1" spans="1:11" ht="12.75" customHeight="1">
      <c r="A1" s="73" t="s">
        <v>0</v>
      </c>
      <c r="B1" s="74">
        <v>2020</v>
      </c>
      <c r="C1" s="106" t="s">
        <v>4</v>
      </c>
      <c r="D1" s="106" t="s">
        <v>6</v>
      </c>
      <c r="E1" s="106" t="s">
        <v>7</v>
      </c>
      <c r="F1" s="73"/>
      <c r="G1" s="75"/>
      <c r="H1" s="106" t="s">
        <v>719</v>
      </c>
      <c r="I1" s="106" t="s">
        <v>720</v>
      </c>
      <c r="J1" s="109" t="s">
        <v>322</v>
      </c>
      <c r="K1" s="108" t="s">
        <v>13</v>
      </c>
    </row>
    <row r="2" spans="1:11" ht="17.25">
      <c r="A2" s="76" t="s">
        <v>431</v>
      </c>
      <c r="B2" s="76" t="s">
        <v>3</v>
      </c>
      <c r="C2" s="106"/>
      <c r="D2" s="106"/>
      <c r="E2" s="106"/>
      <c r="F2" s="73" t="s">
        <v>8</v>
      </c>
      <c r="G2" s="75" t="s">
        <v>9</v>
      </c>
      <c r="H2" s="106"/>
      <c r="I2" s="106"/>
      <c r="J2" s="109"/>
      <c r="K2" s="108"/>
    </row>
    <row r="3" spans="1:10" ht="12.75">
      <c r="A3" s="79" t="s">
        <v>809</v>
      </c>
      <c r="B3" s="79" t="s">
        <v>810</v>
      </c>
      <c r="C3" s="79">
        <v>1</v>
      </c>
      <c r="D3" s="79">
        <v>6</v>
      </c>
      <c r="E3" s="79">
        <v>1</v>
      </c>
      <c r="F3" s="9">
        <f>SUM(D3+E3)</f>
        <v>7</v>
      </c>
      <c r="G3" s="80">
        <f aca="true" t="shared" si="0" ref="G3:G34">F3/$F$93</f>
        <v>0.02464788732394366</v>
      </c>
      <c r="H3" s="9">
        <f>C3</f>
        <v>1</v>
      </c>
      <c r="I3" s="9">
        <f>F3</f>
        <v>7</v>
      </c>
      <c r="J3" s="81">
        <f aca="true" t="shared" si="1" ref="J3:J34">I3/$I$93</f>
        <v>0.005315110098709187</v>
      </c>
    </row>
    <row r="4" spans="1:10" ht="12.75">
      <c r="A4" s="79" t="s">
        <v>671</v>
      </c>
      <c r="B4" s="79" t="s">
        <v>672</v>
      </c>
      <c r="C4" s="79"/>
      <c r="D4" s="79"/>
      <c r="E4" s="79"/>
      <c r="F4" s="9">
        <f>SUM(D4+E4)</f>
        <v>0</v>
      </c>
      <c r="G4" s="80">
        <f t="shared" si="0"/>
        <v>0</v>
      </c>
      <c r="H4" s="93">
        <f>'2017'!C4+'2019'!C3</f>
        <v>2</v>
      </c>
      <c r="I4" s="93">
        <f>'2017'!G4+'2019'!F3+F3</f>
        <v>14</v>
      </c>
      <c r="J4" s="81">
        <f t="shared" si="1"/>
        <v>0.010630220197418374</v>
      </c>
    </row>
    <row r="5" spans="1:10" ht="12.75">
      <c r="A5" s="79" t="s">
        <v>811</v>
      </c>
      <c r="B5" s="79" t="s">
        <v>812</v>
      </c>
      <c r="C5" s="79">
        <v>1</v>
      </c>
      <c r="D5" s="79">
        <v>1</v>
      </c>
      <c r="E5" s="79">
        <v>3</v>
      </c>
      <c r="F5" s="9">
        <v>4</v>
      </c>
      <c r="G5" s="80">
        <f t="shared" si="0"/>
        <v>0.014084507042253521</v>
      </c>
      <c r="H5" s="93">
        <f>C5</f>
        <v>1</v>
      </c>
      <c r="I5" s="93">
        <f>F5</f>
        <v>4</v>
      </c>
      <c r="J5" s="81">
        <f t="shared" si="1"/>
        <v>0.0030372057706909645</v>
      </c>
    </row>
    <row r="6" spans="1:10" ht="12.75">
      <c r="A6" s="79" t="s">
        <v>783</v>
      </c>
      <c r="B6" s="79" t="s">
        <v>784</v>
      </c>
      <c r="C6" s="79"/>
      <c r="D6" s="79"/>
      <c r="E6" s="79"/>
      <c r="F6" s="9">
        <f aca="true" t="shared" si="2" ref="F6:F26">SUM(D6+E6)</f>
        <v>0</v>
      </c>
      <c r="G6" s="80">
        <f t="shared" si="0"/>
        <v>0</v>
      </c>
      <c r="H6" s="93">
        <f>+'2019'!C4</f>
        <v>1</v>
      </c>
      <c r="I6" s="93">
        <f>+'2019'!F4</f>
        <v>8</v>
      </c>
      <c r="J6" s="81">
        <f t="shared" si="1"/>
        <v>0.006074411541381929</v>
      </c>
    </row>
    <row r="7" spans="1:10" ht="12.75">
      <c r="A7" s="79" t="s">
        <v>677</v>
      </c>
      <c r="B7" s="79" t="s">
        <v>678</v>
      </c>
      <c r="C7" s="79"/>
      <c r="D7" s="79"/>
      <c r="E7" s="79"/>
      <c r="F7" s="9">
        <f t="shared" si="2"/>
        <v>0</v>
      </c>
      <c r="G7" s="80">
        <f t="shared" si="0"/>
        <v>0</v>
      </c>
      <c r="H7" s="93">
        <f>'2016'!C5+C7</f>
        <v>2</v>
      </c>
      <c r="I7" s="93">
        <f>'2016'!G5+F7</f>
        <v>6</v>
      </c>
      <c r="J7" s="81">
        <f t="shared" si="1"/>
        <v>0.004555808656036446</v>
      </c>
    </row>
    <row r="8" spans="1:10" ht="12.75">
      <c r="A8" s="79" t="s">
        <v>785</v>
      </c>
      <c r="B8" s="79" t="s">
        <v>786</v>
      </c>
      <c r="C8" s="79"/>
      <c r="D8" s="79"/>
      <c r="E8" s="79"/>
      <c r="F8" s="9">
        <f t="shared" si="2"/>
        <v>0</v>
      </c>
      <c r="G8" s="80">
        <f t="shared" si="0"/>
        <v>0</v>
      </c>
      <c r="H8" s="93">
        <f>C8+'2019'!H6</f>
        <v>1</v>
      </c>
      <c r="I8">
        <v>5</v>
      </c>
      <c r="J8" s="81">
        <f t="shared" si="1"/>
        <v>0.0037965072133637054</v>
      </c>
    </row>
    <row r="9" spans="1:10" ht="12.75">
      <c r="A9" s="79" t="s">
        <v>813</v>
      </c>
      <c r="B9" s="79" t="s">
        <v>814</v>
      </c>
      <c r="C9" s="79">
        <v>1</v>
      </c>
      <c r="D9" s="79">
        <v>4</v>
      </c>
      <c r="E9" s="79">
        <v>3</v>
      </c>
      <c r="F9" s="9">
        <f t="shared" si="2"/>
        <v>7</v>
      </c>
      <c r="G9" s="80">
        <f t="shared" si="0"/>
        <v>0.02464788732394366</v>
      </c>
      <c r="H9" s="93">
        <f>C9</f>
        <v>1</v>
      </c>
      <c r="I9" s="93">
        <f>F9</f>
        <v>7</v>
      </c>
      <c r="J9" s="81">
        <f t="shared" si="1"/>
        <v>0.005315110098709187</v>
      </c>
    </row>
    <row r="10" spans="1:10" ht="12.75">
      <c r="A10" s="79" t="s">
        <v>765</v>
      </c>
      <c r="B10" s="79" t="s">
        <v>766</v>
      </c>
      <c r="C10">
        <v>2</v>
      </c>
      <c r="D10" s="79">
        <v>7</v>
      </c>
      <c r="E10" s="79">
        <v>8</v>
      </c>
      <c r="F10" s="9">
        <f t="shared" si="2"/>
        <v>15</v>
      </c>
      <c r="G10" s="80">
        <f t="shared" si="0"/>
        <v>0.0528169014084507</v>
      </c>
      <c r="H10" s="93">
        <f>'2018'!C6+C10</f>
        <v>3</v>
      </c>
      <c r="I10" s="93">
        <f>'2018'!G6+F10</f>
        <v>17</v>
      </c>
      <c r="J10" s="81">
        <f t="shared" si="1"/>
        <v>0.012908124525436599</v>
      </c>
    </row>
    <row r="11" spans="1:10" ht="12.75">
      <c r="A11" s="79" t="s">
        <v>699</v>
      </c>
      <c r="B11" s="79" t="s">
        <v>700</v>
      </c>
      <c r="C11" s="79"/>
      <c r="D11" s="79"/>
      <c r="E11" s="79"/>
      <c r="F11" s="9">
        <f t="shared" si="2"/>
        <v>0</v>
      </c>
      <c r="G11" s="80">
        <f t="shared" si="0"/>
        <v>0</v>
      </c>
      <c r="H11" s="93">
        <f>'2016'!C7+C11</f>
        <v>2</v>
      </c>
      <c r="I11" s="93">
        <f>'2016'!G7+F11</f>
        <v>16</v>
      </c>
      <c r="J11" s="81">
        <f t="shared" si="1"/>
        <v>0.012148823082763858</v>
      </c>
    </row>
    <row r="12" spans="1:10" ht="12.75">
      <c r="A12" s="79" t="s">
        <v>815</v>
      </c>
      <c r="B12" s="79" t="s">
        <v>816</v>
      </c>
      <c r="C12" s="79">
        <v>1</v>
      </c>
      <c r="D12" s="79">
        <v>6</v>
      </c>
      <c r="E12" s="79">
        <v>3</v>
      </c>
      <c r="F12" s="9">
        <f t="shared" si="2"/>
        <v>9</v>
      </c>
      <c r="G12" s="80">
        <f t="shared" si="0"/>
        <v>0.03169014084507042</v>
      </c>
      <c r="H12" s="93">
        <f>C12</f>
        <v>1</v>
      </c>
      <c r="I12" s="93">
        <f>F12</f>
        <v>9</v>
      </c>
      <c r="J12" s="81">
        <f t="shared" si="1"/>
        <v>0.00683371298405467</v>
      </c>
    </row>
    <row r="13" spans="1:10" ht="12.75">
      <c r="A13" s="79" t="s">
        <v>721</v>
      </c>
      <c r="B13" s="79" t="s">
        <v>722</v>
      </c>
      <c r="C13" s="79"/>
      <c r="D13" s="79"/>
      <c r="E13" s="79"/>
      <c r="F13" s="9">
        <f t="shared" si="2"/>
        <v>0</v>
      </c>
      <c r="G13" s="80">
        <f t="shared" si="0"/>
        <v>0</v>
      </c>
      <c r="H13" s="93">
        <f>'2016'!C9+C13</f>
        <v>1</v>
      </c>
      <c r="I13" s="93">
        <f>'2016'!G9+F13</f>
        <v>8</v>
      </c>
      <c r="J13" s="81">
        <f t="shared" si="1"/>
        <v>0.006074411541381929</v>
      </c>
    </row>
    <row r="14" spans="1:10" ht="12.75">
      <c r="A14" s="79" t="s">
        <v>817</v>
      </c>
      <c r="B14" s="79" t="s">
        <v>788</v>
      </c>
      <c r="C14" s="79"/>
      <c r="D14" s="79"/>
      <c r="E14" s="79"/>
      <c r="F14" s="9">
        <f t="shared" si="2"/>
        <v>0</v>
      </c>
      <c r="G14" s="80">
        <f t="shared" si="0"/>
        <v>0</v>
      </c>
      <c r="H14" s="93">
        <f>+'2019'!C11</f>
        <v>2</v>
      </c>
      <c r="I14" s="93">
        <f>+'2019'!F11</f>
        <v>9</v>
      </c>
      <c r="J14" s="81">
        <f t="shared" si="1"/>
        <v>0.00683371298405467</v>
      </c>
    </row>
    <row r="15" spans="1:10" ht="12.75">
      <c r="A15" s="79" t="s">
        <v>789</v>
      </c>
      <c r="B15" s="79" t="s">
        <v>790</v>
      </c>
      <c r="C15" s="79">
        <v>3</v>
      </c>
      <c r="D15" s="79">
        <v>10</v>
      </c>
      <c r="E15" s="79">
        <v>13</v>
      </c>
      <c r="F15" s="9">
        <f t="shared" si="2"/>
        <v>23</v>
      </c>
      <c r="G15" s="80">
        <f t="shared" si="0"/>
        <v>0.08098591549295775</v>
      </c>
      <c r="H15" s="93">
        <f>+'2019'!C12+C15</f>
        <v>4</v>
      </c>
      <c r="I15" s="93">
        <f>+'2019'!F12+F15</f>
        <v>31</v>
      </c>
      <c r="J15" s="81">
        <f t="shared" si="1"/>
        <v>0.023538344722854973</v>
      </c>
    </row>
    <row r="16" spans="1:10" ht="12.75">
      <c r="A16" s="79" t="s">
        <v>723</v>
      </c>
      <c r="B16" s="79" t="s">
        <v>724</v>
      </c>
      <c r="C16" s="79"/>
      <c r="D16" s="79"/>
      <c r="E16" s="79"/>
      <c r="F16" s="9">
        <f t="shared" si="2"/>
        <v>0</v>
      </c>
      <c r="G16" s="80">
        <f t="shared" si="0"/>
        <v>0</v>
      </c>
      <c r="H16" s="93">
        <f>'2016'!C11+'2018'!C10+'2019'!C13+C16</f>
        <v>5</v>
      </c>
      <c r="I16" s="93">
        <f>'2016'!G11+'2018'!G10+'2019'!F13+F16</f>
        <v>41</v>
      </c>
      <c r="J16" s="81">
        <f t="shared" si="1"/>
        <v>0.031131359149582385</v>
      </c>
    </row>
    <row r="17" spans="1:10" ht="12.75">
      <c r="A17" s="79" t="s">
        <v>791</v>
      </c>
      <c r="B17" s="79" t="s">
        <v>792</v>
      </c>
      <c r="C17" s="79"/>
      <c r="D17" s="79"/>
      <c r="E17" s="79"/>
      <c r="F17" s="9">
        <f t="shared" si="2"/>
        <v>0</v>
      </c>
      <c r="G17" s="80">
        <f t="shared" si="0"/>
        <v>0</v>
      </c>
      <c r="H17" s="93">
        <f>+'2019'!C14+C17</f>
        <v>3</v>
      </c>
      <c r="I17" s="93">
        <f>+'2019'!I14+F17</f>
        <v>25</v>
      </c>
      <c r="J17" s="81">
        <f t="shared" si="1"/>
        <v>0.018982536066818528</v>
      </c>
    </row>
    <row r="18" spans="1:10" ht="12.75">
      <c r="A18" s="79" t="s">
        <v>754</v>
      </c>
      <c r="B18" s="79" t="s">
        <v>755</v>
      </c>
      <c r="C18" s="79"/>
      <c r="D18" s="79"/>
      <c r="E18" s="79"/>
      <c r="F18" s="9">
        <f t="shared" si="2"/>
        <v>0</v>
      </c>
      <c r="G18" s="80">
        <f t="shared" si="0"/>
        <v>0</v>
      </c>
      <c r="H18" s="93">
        <f>'2017'!C12+'2018'!C11+C18</f>
        <v>3</v>
      </c>
      <c r="I18" s="93">
        <f>'2017'!G12+'2018'!G11+F18</f>
        <v>27</v>
      </c>
      <c r="J18" s="81">
        <f t="shared" si="1"/>
        <v>0.02050113895216401</v>
      </c>
    </row>
    <row r="19" spans="1:10" ht="12.75">
      <c r="A19" s="79" t="s">
        <v>725</v>
      </c>
      <c r="B19" s="79" t="s">
        <v>726</v>
      </c>
      <c r="C19" s="79"/>
      <c r="D19" s="79"/>
      <c r="E19" s="79"/>
      <c r="F19" s="9">
        <f t="shared" si="2"/>
        <v>0</v>
      </c>
      <c r="G19" s="80">
        <f t="shared" si="0"/>
        <v>0</v>
      </c>
      <c r="H19" s="93">
        <f>'2016'!C12+'2017'!C13+C19</f>
        <v>2</v>
      </c>
      <c r="I19" s="93">
        <f>'2016'!G12+'2017'!G12+F19</f>
        <v>30</v>
      </c>
      <c r="J19" s="81">
        <f t="shared" si="1"/>
        <v>0.022779043280182234</v>
      </c>
    </row>
    <row r="20" spans="1:10" ht="12.75">
      <c r="A20" s="79" t="s">
        <v>571</v>
      </c>
      <c r="B20" s="79" t="s">
        <v>572</v>
      </c>
      <c r="C20" s="79"/>
      <c r="D20" s="79"/>
      <c r="E20" s="79"/>
      <c r="F20" s="9">
        <f t="shared" si="2"/>
        <v>0</v>
      </c>
      <c r="G20" s="80">
        <f t="shared" si="0"/>
        <v>0</v>
      </c>
      <c r="H20" s="93">
        <f>'2016'!C12</f>
        <v>1</v>
      </c>
      <c r="I20" s="93">
        <f>'2016'!G15</f>
        <v>4</v>
      </c>
      <c r="J20" s="81">
        <f t="shared" si="1"/>
        <v>0.0030372057706909645</v>
      </c>
    </row>
    <row r="21" spans="1:10" ht="12.75">
      <c r="A21" s="79" t="s">
        <v>793</v>
      </c>
      <c r="B21" s="79" t="s">
        <v>794</v>
      </c>
      <c r="C21" s="79">
        <v>1</v>
      </c>
      <c r="D21" s="79">
        <v>3</v>
      </c>
      <c r="E21" s="79">
        <v>2</v>
      </c>
      <c r="F21" s="9">
        <f t="shared" si="2"/>
        <v>5</v>
      </c>
      <c r="G21" s="80">
        <f t="shared" si="0"/>
        <v>0.017605633802816902</v>
      </c>
      <c r="H21" s="93">
        <f>+'2019'!C20+C21</f>
        <v>4</v>
      </c>
      <c r="I21" s="93">
        <f>+'2019'!F20+F21</f>
        <v>25</v>
      </c>
      <c r="J21" s="81">
        <f t="shared" si="1"/>
        <v>0.018982536066818528</v>
      </c>
    </row>
    <row r="22" spans="1:10" ht="12.75">
      <c r="A22" s="79" t="s">
        <v>641</v>
      </c>
      <c r="B22" s="79" t="s">
        <v>659</v>
      </c>
      <c r="C22" s="79"/>
      <c r="D22" s="79"/>
      <c r="E22" s="79"/>
      <c r="F22" s="9">
        <f t="shared" si="2"/>
        <v>0</v>
      </c>
      <c r="G22" s="80">
        <f t="shared" si="0"/>
        <v>0</v>
      </c>
      <c r="H22" s="93">
        <f>'2017'!C18+C22</f>
        <v>1</v>
      </c>
      <c r="I22" s="93">
        <f>'2017'!G18+F22</f>
        <v>7</v>
      </c>
      <c r="J22" s="81">
        <f t="shared" si="1"/>
        <v>0.005315110098709187</v>
      </c>
    </row>
    <row r="23" spans="1:10" ht="12.75">
      <c r="A23" s="79" t="s">
        <v>727</v>
      </c>
      <c r="B23" s="79" t="s">
        <v>728</v>
      </c>
      <c r="C23" s="79">
        <v>2</v>
      </c>
      <c r="D23" s="79">
        <v>11</v>
      </c>
      <c r="E23" s="79">
        <v>9</v>
      </c>
      <c r="F23" s="9">
        <f t="shared" si="2"/>
        <v>20</v>
      </c>
      <c r="G23" s="80">
        <f t="shared" si="0"/>
        <v>0.07042253521126761</v>
      </c>
      <c r="H23" s="93">
        <f>'2016'!C18+'2017'!C19+'2018'!C18+'2019'!C23+C23</f>
        <v>6</v>
      </c>
      <c r="I23" s="93">
        <f>'2016'!G18+'2017'!G19+'2018'!G18+'2019'!F23+F23</f>
        <v>52</v>
      </c>
      <c r="J23" s="81">
        <f t="shared" si="1"/>
        <v>0.039483675018982534</v>
      </c>
    </row>
    <row r="24" spans="1:10" ht="12.75">
      <c r="A24" s="79" t="s">
        <v>756</v>
      </c>
      <c r="B24" s="79" t="s">
        <v>757</v>
      </c>
      <c r="C24" s="79"/>
      <c r="D24" s="79"/>
      <c r="E24" s="79"/>
      <c r="F24" s="9">
        <f t="shared" si="2"/>
        <v>0</v>
      </c>
      <c r="G24" s="80">
        <f t="shared" si="0"/>
        <v>0</v>
      </c>
      <c r="H24" s="93">
        <f>'2017'!C20+'2019'!C24+C24</f>
        <v>2</v>
      </c>
      <c r="I24" s="93">
        <f>'2016'!G19+'2017'!G19+'2019'!F24+F24</f>
        <v>16</v>
      </c>
      <c r="J24" s="81">
        <f t="shared" si="1"/>
        <v>0.012148823082763858</v>
      </c>
    </row>
    <row r="25" spans="1:10" ht="12.75">
      <c r="A25" s="79" t="s">
        <v>767</v>
      </c>
      <c r="B25" s="79" t="s">
        <v>768</v>
      </c>
      <c r="C25" s="79"/>
      <c r="D25" s="79"/>
      <c r="E25" s="79"/>
      <c r="F25" s="9">
        <f t="shared" si="2"/>
        <v>0</v>
      </c>
      <c r="G25" s="80">
        <f t="shared" si="0"/>
        <v>0</v>
      </c>
      <c r="H25" s="93">
        <f>'2016'!C20+'2017'!C21+'2018'!C20+C25</f>
        <v>3</v>
      </c>
      <c r="I25" s="93">
        <f>'2018'!G20+F25</f>
        <v>8</v>
      </c>
      <c r="J25" s="81">
        <f t="shared" si="1"/>
        <v>0.006074411541381929</v>
      </c>
    </row>
    <row r="26" spans="1:10" ht="12.75">
      <c r="A26" s="79" t="s">
        <v>769</v>
      </c>
      <c r="B26" s="79" t="s">
        <v>770</v>
      </c>
      <c r="C26" s="79">
        <v>1</v>
      </c>
      <c r="D26" s="79">
        <v>6</v>
      </c>
      <c r="E26" s="79">
        <v>4</v>
      </c>
      <c r="F26" s="9">
        <f t="shared" si="2"/>
        <v>10</v>
      </c>
      <c r="G26" s="80">
        <f t="shared" si="0"/>
        <v>0.035211267605633804</v>
      </c>
      <c r="H26" s="93">
        <f>'2016'!C21+'2017'!C22+'2018'!C21+'2019'!C26+C26</f>
        <v>4</v>
      </c>
      <c r="I26" s="93">
        <f>'2016'!G21+'2017'!G22+'2018'!G21+'2019'!F26+F26</f>
        <v>37</v>
      </c>
      <c r="J26" s="81">
        <f t="shared" si="1"/>
        <v>0.02809415337889142</v>
      </c>
    </row>
    <row r="27" spans="1:10" ht="12.75">
      <c r="A27" s="79" t="s">
        <v>818</v>
      </c>
      <c r="B27" s="79" t="s">
        <v>819</v>
      </c>
      <c r="C27" s="79">
        <v>1</v>
      </c>
      <c r="D27" s="79">
        <v>1</v>
      </c>
      <c r="E27" s="79">
        <v>6</v>
      </c>
      <c r="F27" s="9">
        <v>7</v>
      </c>
      <c r="G27" s="80">
        <f t="shared" si="0"/>
        <v>0.02464788732394366</v>
      </c>
      <c r="H27" s="93">
        <f>C27</f>
        <v>1</v>
      </c>
      <c r="I27" s="93">
        <f>F27</f>
        <v>7</v>
      </c>
      <c r="J27" s="81">
        <f t="shared" si="1"/>
        <v>0.005315110098709187</v>
      </c>
    </row>
    <row r="28" spans="1:10" ht="12.75">
      <c r="A28" s="79" t="s">
        <v>795</v>
      </c>
      <c r="B28" s="79" t="s">
        <v>796</v>
      </c>
      <c r="C28" s="79"/>
      <c r="D28" s="79"/>
      <c r="E28" s="79"/>
      <c r="F28" s="9">
        <f>SUM(D28+E28)</f>
        <v>0</v>
      </c>
      <c r="G28" s="80">
        <f t="shared" si="0"/>
        <v>0</v>
      </c>
      <c r="H28" s="93">
        <f>+'2019'!C27</f>
        <v>1</v>
      </c>
      <c r="I28" s="93">
        <f>+'2019'!F27</f>
        <v>3</v>
      </c>
      <c r="J28" s="81">
        <f t="shared" si="1"/>
        <v>0.002277904328018223</v>
      </c>
    </row>
    <row r="29" spans="1:10" ht="12.75">
      <c r="A29" s="79" t="s">
        <v>797</v>
      </c>
      <c r="B29" s="79" t="s">
        <v>820</v>
      </c>
      <c r="C29" s="79"/>
      <c r="D29" s="79"/>
      <c r="E29" s="79"/>
      <c r="F29" s="9">
        <f>SUM(D29+E29)</f>
        <v>0</v>
      </c>
      <c r="G29" s="80">
        <f t="shared" si="0"/>
        <v>0</v>
      </c>
      <c r="H29" s="93">
        <f>+'2019'!C28</f>
        <v>1</v>
      </c>
      <c r="I29" s="93">
        <f>+'2019'!F28</f>
        <v>7</v>
      </c>
      <c r="J29" s="81">
        <f t="shared" si="1"/>
        <v>0.005315110098709187</v>
      </c>
    </row>
    <row r="30" spans="1:10" ht="12.75">
      <c r="A30" s="79" t="s">
        <v>821</v>
      </c>
      <c r="B30" s="79" t="s">
        <v>822</v>
      </c>
      <c r="C30" s="79">
        <v>1</v>
      </c>
      <c r="D30" s="79">
        <v>4</v>
      </c>
      <c r="E30" s="79">
        <v>4</v>
      </c>
      <c r="F30" s="9">
        <v>8</v>
      </c>
      <c r="G30" s="80">
        <f t="shared" si="0"/>
        <v>0.028169014084507043</v>
      </c>
      <c r="H30" s="93">
        <f>C30</f>
        <v>1</v>
      </c>
      <c r="I30" s="93">
        <f>F30</f>
        <v>8</v>
      </c>
      <c r="J30" s="81">
        <f t="shared" si="1"/>
        <v>0.006074411541381929</v>
      </c>
    </row>
    <row r="31" spans="1:13" ht="12.75">
      <c r="A31" s="86" t="s">
        <v>643</v>
      </c>
      <c r="B31" s="79" t="s">
        <v>644</v>
      </c>
      <c r="C31" s="79"/>
      <c r="D31" s="79"/>
      <c r="E31" s="79"/>
      <c r="F31" s="9">
        <f aca="true" t="shared" si="3" ref="F31:F51">SUM(D31+E31)</f>
        <v>0</v>
      </c>
      <c r="G31" s="80">
        <f t="shared" si="0"/>
        <v>0</v>
      </c>
      <c r="H31" s="93">
        <f>'2016'!C22+'2017'!C23+'2019'!C29+C31</f>
        <v>2</v>
      </c>
      <c r="I31" s="93">
        <f>'2014'!G21+'2015'!G18+'2017'!G22+'2019'!F29+F31</f>
        <v>25</v>
      </c>
      <c r="J31" s="81">
        <f t="shared" si="1"/>
        <v>0.018982536066818528</v>
      </c>
      <c r="M31" t="s">
        <v>180</v>
      </c>
    </row>
    <row r="32" spans="1:10" ht="12.75">
      <c r="A32" s="86" t="s">
        <v>660</v>
      </c>
      <c r="B32" s="79" t="s">
        <v>661</v>
      </c>
      <c r="C32" s="79"/>
      <c r="D32" s="79"/>
      <c r="E32" s="79"/>
      <c r="F32" s="9">
        <f t="shared" si="3"/>
        <v>0</v>
      </c>
      <c r="G32" s="80">
        <f t="shared" si="0"/>
        <v>0</v>
      </c>
      <c r="H32" s="93">
        <f>'2016'!C24+'2017'!C25+C32</f>
        <v>2</v>
      </c>
      <c r="I32" s="93">
        <f>'2014'!G23+'2015'!G20+'2017'!G23+F32</f>
        <v>34</v>
      </c>
      <c r="J32" s="81">
        <f t="shared" si="1"/>
        <v>0.025816249050873197</v>
      </c>
    </row>
    <row r="33" spans="1:10" ht="12.75">
      <c r="A33" s="86" t="s">
        <v>771</v>
      </c>
      <c r="B33" s="79" t="s">
        <v>772</v>
      </c>
      <c r="C33" s="79"/>
      <c r="D33" s="79"/>
      <c r="E33" s="79"/>
      <c r="F33" s="9">
        <f t="shared" si="3"/>
        <v>0</v>
      </c>
      <c r="G33" s="80">
        <f t="shared" si="0"/>
        <v>0</v>
      </c>
      <c r="H33" s="93">
        <f>'2018'!C25+'2019'!C31+C33</f>
        <v>2</v>
      </c>
      <c r="I33" s="93">
        <f>'2014'!G24+'2015'!G21+'2017'!G24+'2018'!G25+'2019'!F31+F33</f>
        <v>20</v>
      </c>
      <c r="J33" s="81">
        <f t="shared" si="1"/>
        <v>0.015186028853454821</v>
      </c>
    </row>
    <row r="34" spans="1:10" ht="12.75">
      <c r="A34" s="86" t="s">
        <v>823</v>
      </c>
      <c r="B34" s="79" t="s">
        <v>824</v>
      </c>
      <c r="C34" s="79">
        <v>1</v>
      </c>
      <c r="D34" s="79">
        <v>7</v>
      </c>
      <c r="E34" s="79">
        <v>6</v>
      </c>
      <c r="F34" s="9">
        <f t="shared" si="3"/>
        <v>13</v>
      </c>
      <c r="G34" s="80">
        <f t="shared" si="0"/>
        <v>0.045774647887323945</v>
      </c>
      <c r="H34" s="93">
        <f>C34</f>
        <v>1</v>
      </c>
      <c r="I34" s="93">
        <f>F34</f>
        <v>13</v>
      </c>
      <c r="J34" s="81">
        <f t="shared" si="1"/>
        <v>0.009870918754745633</v>
      </c>
    </row>
    <row r="35" spans="1:10" ht="12.75">
      <c r="A35" s="86" t="s">
        <v>799</v>
      </c>
      <c r="B35" s="79" t="s">
        <v>800</v>
      </c>
      <c r="C35" s="79"/>
      <c r="D35" s="79"/>
      <c r="E35" s="79"/>
      <c r="F35" s="9">
        <f t="shared" si="3"/>
        <v>0</v>
      </c>
      <c r="G35" s="80">
        <f aca="true" t="shared" si="4" ref="G35:G66">F35/$F$93</f>
        <v>0</v>
      </c>
      <c r="H35" s="93">
        <f>+'2019'!C32</f>
        <v>1</v>
      </c>
      <c r="I35" s="93">
        <f>+'2019'!F32</f>
        <v>7</v>
      </c>
      <c r="J35" s="81">
        <f aca="true" t="shared" si="5" ref="J35:J66">I35/$I$93</f>
        <v>0.005315110098709187</v>
      </c>
    </row>
    <row r="36" spans="1:11" ht="12.75">
      <c r="A36" s="79" t="s">
        <v>626</v>
      </c>
      <c r="B36" s="79" t="s">
        <v>627</v>
      </c>
      <c r="C36" s="79"/>
      <c r="D36" s="79"/>
      <c r="E36" s="79"/>
      <c r="F36" s="9">
        <f t="shared" si="3"/>
        <v>0</v>
      </c>
      <c r="G36" s="80">
        <f t="shared" si="4"/>
        <v>0</v>
      </c>
      <c r="H36" s="93">
        <f>'2016'!C22+'2017'!C27+C36</f>
        <v>1</v>
      </c>
      <c r="I36" s="93">
        <f>'2016'!G22+F36</f>
        <v>9</v>
      </c>
      <c r="J36" s="81">
        <f t="shared" si="5"/>
        <v>0.00683371298405467</v>
      </c>
      <c r="K36" t="s">
        <v>180</v>
      </c>
    </row>
    <row r="37" spans="1:10" ht="12.75">
      <c r="A37" s="79" t="s">
        <v>825</v>
      </c>
      <c r="B37" s="79" t="s">
        <v>826</v>
      </c>
      <c r="C37" s="79">
        <v>1</v>
      </c>
      <c r="D37" s="79">
        <v>3</v>
      </c>
      <c r="E37" s="79">
        <v>2</v>
      </c>
      <c r="F37" s="9">
        <f t="shared" si="3"/>
        <v>5</v>
      </c>
      <c r="G37" s="80">
        <f t="shared" si="4"/>
        <v>0.017605633802816902</v>
      </c>
      <c r="H37" s="93">
        <f>C37</f>
        <v>1</v>
      </c>
      <c r="I37" s="93">
        <f>F37</f>
        <v>5</v>
      </c>
      <c r="J37" s="81">
        <f t="shared" si="5"/>
        <v>0.0037965072133637054</v>
      </c>
    </row>
    <row r="38" spans="1:10" ht="12.75">
      <c r="A38" s="79" t="s">
        <v>662</v>
      </c>
      <c r="B38" s="79" t="s">
        <v>663</v>
      </c>
      <c r="C38" s="79"/>
      <c r="D38" s="79"/>
      <c r="E38" s="79"/>
      <c r="F38" s="9">
        <f t="shared" si="3"/>
        <v>0</v>
      </c>
      <c r="G38" s="80">
        <f t="shared" si="4"/>
        <v>0</v>
      </c>
      <c r="H38" s="93">
        <f>'2017'!C25+C38</f>
        <v>2</v>
      </c>
      <c r="I38" s="93">
        <f>'2017'!G25+F38</f>
        <v>18</v>
      </c>
      <c r="J38" s="81">
        <f t="shared" si="5"/>
        <v>0.01366742596810934</v>
      </c>
    </row>
    <row r="39" spans="1:10" ht="12.75">
      <c r="A39" s="79" t="s">
        <v>701</v>
      </c>
      <c r="B39" s="79" t="s">
        <v>702</v>
      </c>
      <c r="C39" s="79"/>
      <c r="D39" s="79"/>
      <c r="E39" s="79"/>
      <c r="F39" s="9">
        <f t="shared" si="3"/>
        <v>0</v>
      </c>
      <c r="G39" s="80">
        <f t="shared" si="4"/>
        <v>0</v>
      </c>
      <c r="H39" s="93">
        <f>'2016'!C25+C39</f>
        <v>1</v>
      </c>
      <c r="I39" s="93">
        <f>'2016'!G25+F39</f>
        <v>8</v>
      </c>
      <c r="J39" s="81">
        <f t="shared" si="5"/>
        <v>0.006074411541381929</v>
      </c>
    </row>
    <row r="40" spans="1:10" ht="12.75">
      <c r="A40" s="79" t="s">
        <v>703</v>
      </c>
      <c r="B40" s="79" t="s">
        <v>704</v>
      </c>
      <c r="C40" s="79">
        <v>3</v>
      </c>
      <c r="D40" s="79">
        <v>8</v>
      </c>
      <c r="E40" s="79">
        <v>11</v>
      </c>
      <c r="F40" s="9">
        <f t="shared" si="3"/>
        <v>19</v>
      </c>
      <c r="G40" s="80">
        <f t="shared" si="4"/>
        <v>0.06690140845070422</v>
      </c>
      <c r="H40" s="93">
        <f>+'2019'!C37+C40</f>
        <v>5</v>
      </c>
      <c r="I40" s="93">
        <f>+'2019'!F37+F40</f>
        <v>31</v>
      </c>
      <c r="J40" s="81">
        <f t="shared" si="5"/>
        <v>0.023538344722854973</v>
      </c>
    </row>
    <row r="41" spans="1:10" ht="12.75">
      <c r="A41" s="79" t="s">
        <v>758</v>
      </c>
      <c r="B41" s="79" t="s">
        <v>759</v>
      </c>
      <c r="C41" s="79"/>
      <c r="D41" s="79"/>
      <c r="E41" s="79"/>
      <c r="F41" s="9">
        <f t="shared" si="3"/>
        <v>0</v>
      </c>
      <c r="G41" s="80">
        <f t="shared" si="4"/>
        <v>0</v>
      </c>
      <c r="H41" s="93">
        <f>'2017'!C35+C41</f>
        <v>1</v>
      </c>
      <c r="I41" s="93">
        <f>'2017'!G32+F41</f>
        <v>4</v>
      </c>
      <c r="J41" s="81">
        <f t="shared" si="5"/>
        <v>0.0030372057706909645</v>
      </c>
    </row>
    <row r="42" spans="1:10" ht="12.75">
      <c r="A42" s="79" t="s">
        <v>801</v>
      </c>
      <c r="B42" s="79" t="s">
        <v>802</v>
      </c>
      <c r="C42" s="79">
        <v>1</v>
      </c>
      <c r="D42" s="79">
        <v>1</v>
      </c>
      <c r="E42" s="79">
        <v>6</v>
      </c>
      <c r="F42" s="9">
        <f t="shared" si="3"/>
        <v>7</v>
      </c>
      <c r="G42" s="80">
        <f t="shared" si="4"/>
        <v>0.02464788732394366</v>
      </c>
      <c r="H42" s="93">
        <f>+'2019'!C41+C42</f>
        <v>2</v>
      </c>
      <c r="I42" s="93">
        <f>+'2019'!F41+F42</f>
        <v>12</v>
      </c>
      <c r="J42" s="81">
        <f t="shared" si="5"/>
        <v>0.009111617312072893</v>
      </c>
    </row>
    <row r="43" spans="1:10" ht="12.75">
      <c r="A43" s="79" t="s">
        <v>730</v>
      </c>
      <c r="B43" s="79" t="s">
        <v>731</v>
      </c>
      <c r="C43" s="79"/>
      <c r="D43" s="79"/>
      <c r="E43" s="79"/>
      <c r="F43" s="9">
        <f t="shared" si="3"/>
        <v>0</v>
      </c>
      <c r="G43" s="80">
        <f t="shared" si="4"/>
        <v>0</v>
      </c>
      <c r="H43" s="93">
        <f>'2016'!C31+'2017'!C33+C43</f>
        <v>3</v>
      </c>
      <c r="I43" s="93">
        <f>'2016'!G31+'2017'!G33+F43</f>
        <v>21</v>
      </c>
      <c r="J43" s="81">
        <f t="shared" si="5"/>
        <v>0.015945330296127564</v>
      </c>
    </row>
    <row r="44" spans="1:10" ht="12.75">
      <c r="A44" s="86" t="s">
        <v>693</v>
      </c>
      <c r="B44" s="79" t="s">
        <v>694</v>
      </c>
      <c r="C44" s="79"/>
      <c r="D44" s="79"/>
      <c r="E44" s="79"/>
      <c r="F44" s="9">
        <f t="shared" si="3"/>
        <v>0</v>
      </c>
      <c r="G44" s="80">
        <f t="shared" si="4"/>
        <v>0</v>
      </c>
      <c r="H44" s="93">
        <f>'2016'!C32+'2017'!C34+'2018'!C36+C44</f>
        <v>5</v>
      </c>
      <c r="I44" s="93">
        <f>'2016'!G32+'2017'!G34+'2018'!G36+F44</f>
        <v>39</v>
      </c>
      <c r="J44" s="94">
        <f t="shared" si="5"/>
        <v>0.029612756264236904</v>
      </c>
    </row>
    <row r="45" spans="1:10" ht="12.75">
      <c r="A45" s="86" t="s">
        <v>803</v>
      </c>
      <c r="B45" s="79" t="s">
        <v>804</v>
      </c>
      <c r="C45" s="79"/>
      <c r="D45" s="79"/>
      <c r="E45" s="79"/>
      <c r="F45" s="9">
        <f t="shared" si="3"/>
        <v>0</v>
      </c>
      <c r="G45" s="80">
        <f t="shared" si="4"/>
        <v>0</v>
      </c>
      <c r="H45" s="93">
        <f>+'2019'!C44</f>
        <v>1</v>
      </c>
      <c r="I45" s="93">
        <f>+'2019'!F44</f>
        <v>13</v>
      </c>
      <c r="J45" s="94">
        <f t="shared" si="5"/>
        <v>0.009870918754745633</v>
      </c>
    </row>
    <row r="46" spans="1:10" ht="12.75">
      <c r="A46" s="79" t="s">
        <v>709</v>
      </c>
      <c r="B46" s="79" t="s">
        <v>710</v>
      </c>
      <c r="C46" s="79"/>
      <c r="D46" s="79"/>
      <c r="E46" s="79"/>
      <c r="F46" s="9">
        <f t="shared" si="3"/>
        <v>0</v>
      </c>
      <c r="G46" s="80">
        <f t="shared" si="4"/>
        <v>0</v>
      </c>
      <c r="H46" s="93">
        <f>'2016'!C33+'2017'!C35+'2018'!C37+'2019'!C45+C46</f>
        <v>4</v>
      </c>
      <c r="I46" s="93">
        <f>'2016'!G33+'2017'!G35+'2018'!G37+'2019'!F45+F46</f>
        <v>30</v>
      </c>
      <c r="J46" s="81">
        <f t="shared" si="5"/>
        <v>0.022779043280182234</v>
      </c>
    </row>
    <row r="47" spans="1:10" ht="12.75">
      <c r="A47" s="79" t="s">
        <v>711</v>
      </c>
      <c r="B47" s="79" t="s">
        <v>712</v>
      </c>
      <c r="C47" s="79">
        <v>1</v>
      </c>
      <c r="D47" s="79">
        <v>7</v>
      </c>
      <c r="E47" s="79">
        <v>3</v>
      </c>
      <c r="F47" s="9">
        <f t="shared" si="3"/>
        <v>10</v>
      </c>
      <c r="G47" s="80">
        <f t="shared" si="4"/>
        <v>0.035211267605633804</v>
      </c>
      <c r="H47" s="93">
        <f>'2016'!C38+'2017'!C39+'2019'!C46+C47</f>
        <v>3</v>
      </c>
      <c r="I47" s="93">
        <f>'2015'!G35+'2019'!F46+F47</f>
        <v>25</v>
      </c>
      <c r="J47" s="81">
        <f t="shared" si="5"/>
        <v>0.018982536066818528</v>
      </c>
    </row>
    <row r="48" spans="1:10" ht="12.75">
      <c r="A48" s="86" t="s">
        <v>631</v>
      </c>
      <c r="B48" s="79" t="s">
        <v>632</v>
      </c>
      <c r="C48" s="79"/>
      <c r="D48" s="79"/>
      <c r="E48" s="79"/>
      <c r="F48" s="9">
        <f t="shared" si="3"/>
        <v>0</v>
      </c>
      <c r="G48" s="80">
        <f t="shared" si="4"/>
        <v>0</v>
      </c>
      <c r="H48" s="93">
        <f>'2016'!C37+C48</f>
        <v>1</v>
      </c>
      <c r="I48" s="93">
        <f>'2016'!G37</f>
        <v>8</v>
      </c>
      <c r="J48" s="81">
        <f t="shared" si="5"/>
        <v>0.006074411541381929</v>
      </c>
    </row>
    <row r="49" spans="1:10" ht="12.75">
      <c r="A49" s="79" t="s">
        <v>732</v>
      </c>
      <c r="B49" s="79" t="s">
        <v>733</v>
      </c>
      <c r="C49" s="79">
        <v>1</v>
      </c>
      <c r="D49" s="79">
        <v>1</v>
      </c>
      <c r="E49" s="79"/>
      <c r="F49" s="9">
        <f t="shared" si="3"/>
        <v>1</v>
      </c>
      <c r="G49" s="80">
        <f t="shared" si="4"/>
        <v>0.0035211267605633804</v>
      </c>
      <c r="H49" s="93">
        <f>'2016'!C39+'2017'!C39+'2018'!C40+'2019'!C48+C49</f>
        <v>5</v>
      </c>
      <c r="I49" s="93">
        <f>'2016'!G39+'2017'!G39+'2018'!G40+'2019'!F48+F49</f>
        <v>30</v>
      </c>
      <c r="J49" s="81">
        <f t="shared" si="5"/>
        <v>0.022779043280182234</v>
      </c>
    </row>
    <row r="50" spans="1:10" ht="12.75">
      <c r="A50" s="79" t="s">
        <v>734</v>
      </c>
      <c r="B50" s="79" t="s">
        <v>735</v>
      </c>
      <c r="C50" s="79"/>
      <c r="D50" s="79"/>
      <c r="E50" s="79"/>
      <c r="F50" s="9">
        <f t="shared" si="3"/>
        <v>0</v>
      </c>
      <c r="G50" s="80">
        <f t="shared" si="4"/>
        <v>0</v>
      </c>
      <c r="H50" s="93">
        <f>'2016'!C40+'2017'!C40+'2018'!C41+'2019'!C49+C50</f>
        <v>4</v>
      </c>
      <c r="I50" s="93">
        <f>'2016'!G40+'2017'!G40+'2018'!G41+'2019'!F49+F50</f>
        <v>35</v>
      </c>
      <c r="J50" s="81">
        <f t="shared" si="5"/>
        <v>0.026575550493545937</v>
      </c>
    </row>
    <row r="51" spans="1:10" ht="12.75">
      <c r="A51" s="79" t="s">
        <v>715</v>
      </c>
      <c r="B51" s="79" t="s">
        <v>736</v>
      </c>
      <c r="C51" s="79"/>
      <c r="D51" s="79"/>
      <c r="E51" s="79"/>
      <c r="F51" s="9">
        <f t="shared" si="3"/>
        <v>0</v>
      </c>
      <c r="G51" s="80">
        <f t="shared" si="4"/>
        <v>0</v>
      </c>
      <c r="H51" s="93">
        <f>'2016'!C42+'2017'!C43+C51</f>
        <v>1</v>
      </c>
      <c r="I51" s="93">
        <f>'2015'!G41+F51</f>
        <v>6</v>
      </c>
      <c r="J51" s="81">
        <f t="shared" si="5"/>
        <v>0.004555808656036446</v>
      </c>
    </row>
    <row r="52" spans="1:10" ht="12.75">
      <c r="A52" s="79" t="s">
        <v>827</v>
      </c>
      <c r="B52" s="79" t="s">
        <v>828</v>
      </c>
      <c r="C52" s="79">
        <v>1</v>
      </c>
      <c r="D52" s="79">
        <v>6</v>
      </c>
      <c r="E52" s="79">
        <v>3</v>
      </c>
      <c r="F52" s="9">
        <v>9</v>
      </c>
      <c r="G52" s="80">
        <f t="shared" si="4"/>
        <v>0.03169014084507042</v>
      </c>
      <c r="H52" s="93">
        <f>C52</f>
        <v>1</v>
      </c>
      <c r="I52" s="93">
        <f>F52</f>
        <v>9</v>
      </c>
      <c r="J52" s="81">
        <f t="shared" si="5"/>
        <v>0.00683371298405467</v>
      </c>
    </row>
    <row r="53" spans="1:10" ht="12.75">
      <c r="A53" s="86" t="s">
        <v>150</v>
      </c>
      <c r="B53" s="79" t="s">
        <v>668</v>
      </c>
      <c r="C53" s="79"/>
      <c r="D53" s="79"/>
      <c r="E53" s="79"/>
      <c r="F53" s="9">
        <f>SUM(D53+E53)</f>
        <v>0</v>
      </c>
      <c r="G53" s="80">
        <f t="shared" si="4"/>
        <v>0</v>
      </c>
      <c r="H53" s="93">
        <f>'2016'!C43+'2017'!C43+C53</f>
        <v>4</v>
      </c>
      <c r="I53" s="93">
        <f>'2016'!G43+'2017'!G43+F53</f>
        <v>34</v>
      </c>
      <c r="J53" s="94">
        <f t="shared" si="5"/>
        <v>0.025816249050873197</v>
      </c>
    </row>
    <row r="54" spans="1:10" ht="12.75">
      <c r="A54" s="86" t="s">
        <v>829</v>
      </c>
      <c r="B54" s="79" t="s">
        <v>830</v>
      </c>
      <c r="C54" s="79">
        <v>3</v>
      </c>
      <c r="D54" s="79">
        <v>10</v>
      </c>
      <c r="E54" s="79">
        <v>12</v>
      </c>
      <c r="F54" s="9">
        <v>22</v>
      </c>
      <c r="G54" s="80">
        <f t="shared" si="4"/>
        <v>0.07746478873239436</v>
      </c>
      <c r="H54" s="93">
        <f>C54</f>
        <v>3</v>
      </c>
      <c r="I54" s="93">
        <f>F54</f>
        <v>22</v>
      </c>
      <c r="J54" s="94">
        <f t="shared" si="5"/>
        <v>0.016704631738800303</v>
      </c>
    </row>
    <row r="55" spans="1:10" ht="12.75">
      <c r="A55" s="86" t="s">
        <v>831</v>
      </c>
      <c r="B55" s="79" t="s">
        <v>832</v>
      </c>
      <c r="C55" s="79">
        <v>2</v>
      </c>
      <c r="D55" s="79">
        <v>7</v>
      </c>
      <c r="E55" s="79">
        <v>9</v>
      </c>
      <c r="F55" s="9">
        <v>16</v>
      </c>
      <c r="G55" s="80">
        <f t="shared" si="4"/>
        <v>0.056338028169014086</v>
      </c>
      <c r="H55" s="93">
        <f>C55</f>
        <v>2</v>
      </c>
      <c r="I55" s="93">
        <f>F55</f>
        <v>16</v>
      </c>
      <c r="J55" s="94">
        <f t="shared" si="5"/>
        <v>0.012148823082763858</v>
      </c>
    </row>
    <row r="56" spans="1:10" ht="12.75">
      <c r="A56" s="86" t="s">
        <v>805</v>
      </c>
      <c r="B56" s="79" t="s">
        <v>833</v>
      </c>
      <c r="C56" s="79"/>
      <c r="D56" s="79"/>
      <c r="E56" s="79"/>
      <c r="F56" s="9">
        <f>SUM(D56+E56)</f>
        <v>0</v>
      </c>
      <c r="G56" s="80">
        <f t="shared" si="4"/>
        <v>0</v>
      </c>
      <c r="H56" s="93">
        <f>+'2019'!C52</f>
        <v>1</v>
      </c>
      <c r="I56" s="93">
        <f>+'2019'!F52</f>
        <v>10</v>
      </c>
      <c r="J56" s="94">
        <f t="shared" si="5"/>
        <v>0.007593014426727411</v>
      </c>
    </row>
    <row r="57" spans="1:10" ht="12.75">
      <c r="A57" s="86" t="s">
        <v>834</v>
      </c>
      <c r="B57" s="79" t="s">
        <v>835</v>
      </c>
      <c r="C57" s="79">
        <v>1</v>
      </c>
      <c r="D57" s="79">
        <v>6</v>
      </c>
      <c r="E57" s="79">
        <v>3</v>
      </c>
      <c r="F57" s="9">
        <v>9</v>
      </c>
      <c r="G57" s="80">
        <f t="shared" si="4"/>
        <v>0.03169014084507042</v>
      </c>
      <c r="H57" s="93">
        <f>C57</f>
        <v>1</v>
      </c>
      <c r="I57" s="93">
        <f>F57</f>
        <v>9</v>
      </c>
      <c r="J57" s="94">
        <f t="shared" si="5"/>
        <v>0.00683371298405467</v>
      </c>
    </row>
    <row r="58" spans="1:10" ht="12.75">
      <c r="A58" s="86" t="s">
        <v>836</v>
      </c>
      <c r="B58" s="79" t="s">
        <v>837</v>
      </c>
      <c r="C58" s="79">
        <v>1</v>
      </c>
      <c r="D58" s="79">
        <v>3</v>
      </c>
      <c r="E58" s="79">
        <v>7</v>
      </c>
      <c r="F58" s="9">
        <v>10</v>
      </c>
      <c r="G58" s="80">
        <f t="shared" si="4"/>
        <v>0.035211267605633804</v>
      </c>
      <c r="H58" s="93">
        <f>C58</f>
        <v>1</v>
      </c>
      <c r="I58" s="93">
        <f>F58</f>
        <v>10</v>
      </c>
      <c r="J58" s="94">
        <f t="shared" si="5"/>
        <v>0.007593014426727411</v>
      </c>
    </row>
    <row r="59" spans="1:10" ht="12.75">
      <c r="A59" s="79" t="s">
        <v>737</v>
      </c>
      <c r="B59" s="79" t="s">
        <v>738</v>
      </c>
      <c r="C59" s="79"/>
      <c r="D59" s="79"/>
      <c r="E59" s="79"/>
      <c r="F59" s="9">
        <f aca="true" t="shared" si="6" ref="F59:F71">SUM(D59+E59)</f>
        <v>0</v>
      </c>
      <c r="G59" s="80">
        <f t="shared" si="4"/>
        <v>0</v>
      </c>
      <c r="H59" s="93">
        <f>'2016'!C46+C59</f>
        <v>1</v>
      </c>
      <c r="I59" s="93">
        <f>'2016'!G46+F59</f>
        <v>7</v>
      </c>
      <c r="J59" s="94">
        <f t="shared" si="5"/>
        <v>0.005315110098709187</v>
      </c>
    </row>
    <row r="60" spans="1:10" ht="12.75">
      <c r="A60" s="79" t="s">
        <v>774</v>
      </c>
      <c r="B60" s="79" t="s">
        <v>775</v>
      </c>
      <c r="C60" s="79"/>
      <c r="D60" s="79"/>
      <c r="E60" s="79"/>
      <c r="F60" s="9">
        <f t="shared" si="6"/>
        <v>0</v>
      </c>
      <c r="G60" s="80">
        <f t="shared" si="4"/>
        <v>0</v>
      </c>
      <c r="H60" s="93">
        <f>'2018'!C45+C60</f>
        <v>1</v>
      </c>
      <c r="I60" s="93">
        <f>'2018'!G45+F60</f>
        <v>6</v>
      </c>
      <c r="J60" s="94">
        <f t="shared" si="5"/>
        <v>0.004555808656036446</v>
      </c>
    </row>
    <row r="61" spans="1:10" ht="12.75">
      <c r="A61" s="79" t="s">
        <v>669</v>
      </c>
      <c r="B61" s="79" t="s">
        <v>838</v>
      </c>
      <c r="C61" s="79"/>
      <c r="D61" s="79"/>
      <c r="E61" s="79"/>
      <c r="F61" s="9">
        <f t="shared" si="6"/>
        <v>0</v>
      </c>
      <c r="G61" s="80">
        <f t="shared" si="4"/>
        <v>0</v>
      </c>
      <c r="H61" s="93">
        <f>'2017'!C47+C61</f>
        <v>1</v>
      </c>
      <c r="I61" s="93">
        <f>'2017'!G47+F61</f>
        <v>7</v>
      </c>
      <c r="J61" s="94">
        <f t="shared" si="5"/>
        <v>0.005315110098709187</v>
      </c>
    </row>
    <row r="62" spans="1:10" ht="12.75">
      <c r="A62" s="86" t="s">
        <v>588</v>
      </c>
      <c r="B62" s="79" t="s">
        <v>589</v>
      </c>
      <c r="C62" s="79"/>
      <c r="D62" s="79"/>
      <c r="E62" s="79"/>
      <c r="F62" s="9">
        <f t="shared" si="6"/>
        <v>0</v>
      </c>
      <c r="G62" s="80">
        <f t="shared" si="4"/>
        <v>0</v>
      </c>
      <c r="H62" s="93">
        <f>'2016'!C50</f>
        <v>1</v>
      </c>
      <c r="I62" s="93">
        <f>'2016'!G50</f>
        <v>7</v>
      </c>
      <c r="J62" s="94">
        <f t="shared" si="5"/>
        <v>0.005315110098709187</v>
      </c>
    </row>
    <row r="63" spans="1:10" ht="12.75">
      <c r="A63" s="86" t="s">
        <v>740</v>
      </c>
      <c r="B63" s="79" t="s">
        <v>741</v>
      </c>
      <c r="C63" s="79"/>
      <c r="D63" s="79"/>
      <c r="E63" s="79"/>
      <c r="F63" s="9">
        <f t="shared" si="6"/>
        <v>0</v>
      </c>
      <c r="G63" s="80">
        <f t="shared" si="4"/>
        <v>0</v>
      </c>
      <c r="H63" s="93">
        <f>'2016'!C51+'2018'!C49+C63</f>
        <v>2</v>
      </c>
      <c r="I63" s="93">
        <f>'2016'!G51+F63+'2018'!G49</f>
        <v>16</v>
      </c>
      <c r="J63" s="94">
        <f t="shared" si="5"/>
        <v>0.012148823082763858</v>
      </c>
    </row>
    <row r="64" spans="1:10" ht="12.75">
      <c r="A64" s="86" t="s">
        <v>685</v>
      </c>
      <c r="B64" s="79" t="s">
        <v>686</v>
      </c>
      <c r="C64" s="79"/>
      <c r="D64" s="79"/>
      <c r="E64" s="79"/>
      <c r="F64" s="9">
        <f t="shared" si="6"/>
        <v>0</v>
      </c>
      <c r="G64" s="80">
        <f t="shared" si="4"/>
        <v>0</v>
      </c>
      <c r="H64" s="93">
        <f>'2016'!C52+'2017'!C51+'2018'!C50+C64</f>
        <v>6</v>
      </c>
      <c r="I64" s="93">
        <f>'2016'!G52+'2017'!G51+'2018'!G50+F64</f>
        <v>45</v>
      </c>
      <c r="J64" s="94">
        <f t="shared" si="5"/>
        <v>0.03416856492027335</v>
      </c>
    </row>
    <row r="65" spans="1:10" ht="12.75">
      <c r="A65" s="86" t="s">
        <v>839</v>
      </c>
      <c r="B65" s="79" t="s">
        <v>840</v>
      </c>
      <c r="C65" s="79"/>
      <c r="D65" s="79"/>
      <c r="E65" s="79"/>
      <c r="F65" s="9">
        <f t="shared" si="6"/>
        <v>0</v>
      </c>
      <c r="G65" s="80">
        <f t="shared" si="4"/>
        <v>0</v>
      </c>
      <c r="H65" s="93">
        <f>C65</f>
        <v>0</v>
      </c>
      <c r="I65" s="93">
        <f>F65</f>
        <v>0</v>
      </c>
      <c r="J65" s="94">
        <f t="shared" si="5"/>
        <v>0</v>
      </c>
    </row>
    <row r="66" spans="1:10" ht="12.75">
      <c r="A66" s="86" t="s">
        <v>742</v>
      </c>
      <c r="B66" s="79" t="s">
        <v>743</v>
      </c>
      <c r="C66" s="79"/>
      <c r="D66" s="79"/>
      <c r="E66" s="79"/>
      <c r="F66" s="9">
        <f t="shared" si="6"/>
        <v>0</v>
      </c>
      <c r="G66" s="80">
        <f t="shared" si="4"/>
        <v>0</v>
      </c>
      <c r="H66" s="93">
        <f>'2016'!C53+'2017'!C52+'2018'!C51+C66</f>
        <v>8</v>
      </c>
      <c r="I66" s="93">
        <f>'2016'!G53+'2017'!G52+'2018'!G51+F66</f>
        <v>64</v>
      </c>
      <c r="J66" s="83">
        <f t="shared" si="5"/>
        <v>0.04859529233105543</v>
      </c>
    </row>
    <row r="67" spans="1:10" ht="12.75">
      <c r="A67" s="79" t="s">
        <v>744</v>
      </c>
      <c r="B67" s="79" t="s">
        <v>745</v>
      </c>
      <c r="C67" s="79">
        <v>1</v>
      </c>
      <c r="D67" s="79">
        <v>3</v>
      </c>
      <c r="E67" s="79">
        <v>4</v>
      </c>
      <c r="F67" s="9">
        <f t="shared" si="6"/>
        <v>7</v>
      </c>
      <c r="G67" s="80">
        <f>F67/$F$93</f>
        <v>0.02464788732394366</v>
      </c>
      <c r="H67" s="93">
        <f>'2017'!C53+'2018'!C52+'2019'!C60+C67+'2016'!C55</f>
        <v>9</v>
      </c>
      <c r="I67" s="93">
        <f>'2016'!G55+'2017'!G53+'2018'!G52+'2019'!F60+F67</f>
        <v>70</v>
      </c>
      <c r="J67" s="83">
        <f>I67/$I$93</f>
        <v>0.05315110098709187</v>
      </c>
    </row>
    <row r="68" spans="1:10" ht="12.75">
      <c r="A68" s="79" t="s">
        <v>760</v>
      </c>
      <c r="B68" s="79" t="s">
        <v>761</v>
      </c>
      <c r="C68" s="79"/>
      <c r="D68" s="79"/>
      <c r="E68" s="79"/>
      <c r="F68" s="9">
        <f t="shared" si="6"/>
        <v>0</v>
      </c>
      <c r="G68" s="80">
        <f>F68/$F$93</f>
        <v>0</v>
      </c>
      <c r="H68" s="93">
        <f>'2017'!C54+C68</f>
        <v>1</v>
      </c>
      <c r="I68" s="93">
        <f>'2017'!G54+F68</f>
        <v>9</v>
      </c>
      <c r="J68" s="94">
        <f>I68/$I$93</f>
        <v>0.00683371298405467</v>
      </c>
    </row>
    <row r="69" spans="1:10" ht="12.75">
      <c r="A69" s="79" t="s">
        <v>841</v>
      </c>
      <c r="B69" s="79" t="s">
        <v>842</v>
      </c>
      <c r="C69" s="79">
        <v>1</v>
      </c>
      <c r="D69" s="79">
        <v>2</v>
      </c>
      <c r="E69" s="79">
        <v>1</v>
      </c>
      <c r="F69" s="9">
        <f t="shared" si="6"/>
        <v>3</v>
      </c>
      <c r="G69" s="80">
        <f>F69/$F$93</f>
        <v>0.01056338028169014</v>
      </c>
      <c r="H69" s="93">
        <f>C69</f>
        <v>1</v>
      </c>
      <c r="I69" s="93">
        <f>F69</f>
        <v>3</v>
      </c>
      <c r="J69" s="94">
        <f>I69/$I$93</f>
        <v>0.002277904328018223</v>
      </c>
    </row>
    <row r="70" spans="1:10" ht="12.75">
      <c r="A70" s="79" t="s">
        <v>843</v>
      </c>
      <c r="B70" s="79" t="s">
        <v>844</v>
      </c>
      <c r="C70" s="79">
        <v>1</v>
      </c>
      <c r="D70" s="79">
        <v>3</v>
      </c>
      <c r="E70" s="79">
        <v>5</v>
      </c>
      <c r="F70" s="9">
        <f t="shared" si="6"/>
        <v>8</v>
      </c>
      <c r="G70" s="80">
        <f>F70/$F$93</f>
        <v>0.028169014084507043</v>
      </c>
      <c r="H70" s="93">
        <f>C70</f>
        <v>1</v>
      </c>
      <c r="I70" s="93">
        <f>F70</f>
        <v>8</v>
      </c>
      <c r="J70" s="94">
        <f>I70/$I$93</f>
        <v>0.006074411541381929</v>
      </c>
    </row>
    <row r="71" spans="1:10" ht="12.75">
      <c r="A71" s="79" t="s">
        <v>777</v>
      </c>
      <c r="B71" s="79" t="s">
        <v>778</v>
      </c>
      <c r="C71" s="79">
        <v>1</v>
      </c>
      <c r="D71" s="79">
        <v>3</v>
      </c>
      <c r="E71" s="79">
        <v>4</v>
      </c>
      <c r="F71" s="9">
        <f t="shared" si="6"/>
        <v>7</v>
      </c>
      <c r="G71" s="80">
        <f>F71/$F$93</f>
        <v>0.02464788732394366</v>
      </c>
      <c r="H71" s="93">
        <f>'2018'!C54+C71</f>
        <v>4</v>
      </c>
      <c r="I71" s="93">
        <f>'2018'!G54+F71</f>
        <v>30</v>
      </c>
      <c r="J71" s="94">
        <f>I71/$I$93</f>
        <v>0.022779043280182234</v>
      </c>
    </row>
    <row r="72" spans="1:10" ht="12.75">
      <c r="A72" s="79" t="s">
        <v>762</v>
      </c>
      <c r="B72" s="79"/>
      <c r="C72" s="88"/>
      <c r="D72" s="88"/>
      <c r="E72" s="88"/>
      <c r="F72" s="9"/>
      <c r="G72" s="80"/>
      <c r="H72" s="95"/>
      <c r="I72" s="93"/>
      <c r="J72" s="81"/>
    </row>
    <row r="73" spans="1:10" ht="12.75">
      <c r="A73" s="79"/>
      <c r="B73" s="79"/>
      <c r="C73" s="79"/>
      <c r="D73" s="79"/>
      <c r="E73" s="79"/>
      <c r="G73" s="80"/>
      <c r="H73" s="95"/>
      <c r="I73" s="95"/>
      <c r="J73" s="81"/>
    </row>
    <row r="74" spans="1:10" ht="12.75">
      <c r="A74" s="79"/>
      <c r="B74" s="79"/>
      <c r="C74" s="79"/>
      <c r="D74" s="79"/>
      <c r="E74" s="79"/>
      <c r="G74" s="80"/>
      <c r="I74" s="95"/>
      <c r="J74" s="81"/>
    </row>
    <row r="75" spans="1:10" ht="12.75">
      <c r="A75" s="79" t="s">
        <v>687</v>
      </c>
      <c r="B75" s="79" t="s">
        <v>688</v>
      </c>
      <c r="C75" s="79"/>
      <c r="D75" s="79"/>
      <c r="E75" s="79"/>
      <c r="F75" s="9">
        <f>SUM(D75+E75)</f>
        <v>0</v>
      </c>
      <c r="G75" s="80">
        <f aca="true" t="shared" si="7" ref="G75:G85">F75/$F$93</f>
        <v>0</v>
      </c>
      <c r="H75" s="93">
        <f>'2016'!C60+C75</f>
        <v>1</v>
      </c>
      <c r="I75" s="93">
        <f>'2016'!G60+F75</f>
        <v>4</v>
      </c>
      <c r="J75" s="81">
        <f aca="true" t="shared" si="8" ref="J75:J85">I75/$I$93</f>
        <v>0.0030372057706909645</v>
      </c>
    </row>
    <row r="76" spans="1:10" ht="12.75">
      <c r="A76" s="79" t="s">
        <v>746</v>
      </c>
      <c r="B76" s="79" t="s">
        <v>747</v>
      </c>
      <c r="C76" s="79"/>
      <c r="D76" s="79"/>
      <c r="E76" s="79"/>
      <c r="F76" s="9">
        <f>SUM(D76+E76)</f>
        <v>0</v>
      </c>
      <c r="G76" s="80">
        <f t="shared" si="7"/>
        <v>0</v>
      </c>
      <c r="H76" s="93">
        <f>'2016'!C61+'2017'!C60+C76</f>
        <v>2</v>
      </c>
      <c r="I76" s="93">
        <f>'2016'!G61+'2017'!G60+F76</f>
        <v>14</v>
      </c>
      <c r="J76" s="81">
        <f t="shared" si="8"/>
        <v>0.010630220197418374</v>
      </c>
    </row>
    <row r="77" spans="1:10" ht="12.75">
      <c r="A77" s="79" t="s">
        <v>748</v>
      </c>
      <c r="B77" s="79" t="s">
        <v>749</v>
      </c>
      <c r="C77" s="79"/>
      <c r="D77" s="79"/>
      <c r="E77" s="79"/>
      <c r="F77" s="9">
        <f>SUM(D77+E77)</f>
        <v>0</v>
      </c>
      <c r="G77" s="80">
        <f t="shared" si="7"/>
        <v>0</v>
      </c>
      <c r="H77" s="93">
        <f>'2016'!C65</f>
        <v>1</v>
      </c>
      <c r="I77" s="93">
        <f>'2016'!G65</f>
        <v>6</v>
      </c>
      <c r="J77" s="81">
        <f t="shared" si="8"/>
        <v>0.004555808656036446</v>
      </c>
    </row>
    <row r="78" spans="1:10" ht="12.75">
      <c r="A78" s="79" t="s">
        <v>750</v>
      </c>
      <c r="B78" s="79" t="s">
        <v>751</v>
      </c>
      <c r="C78" s="79"/>
      <c r="D78" s="79"/>
      <c r="E78" s="79"/>
      <c r="F78" s="9">
        <f>SUM(D78+E78)</f>
        <v>0</v>
      </c>
      <c r="G78" s="80">
        <f t="shared" si="7"/>
        <v>0</v>
      </c>
      <c r="H78" s="93">
        <f>'2016'!C66+C78</f>
        <v>1</v>
      </c>
      <c r="I78" s="93">
        <f>'2016'!G66+F78</f>
        <v>9</v>
      </c>
      <c r="J78" s="81">
        <f t="shared" si="8"/>
        <v>0.00683371298405467</v>
      </c>
    </row>
    <row r="79" spans="1:10" ht="12.75">
      <c r="A79" s="79" t="s">
        <v>26</v>
      </c>
      <c r="B79" s="79" t="s">
        <v>845</v>
      </c>
      <c r="C79" s="79">
        <v>1</v>
      </c>
      <c r="D79" s="79">
        <v>2</v>
      </c>
      <c r="E79" s="79">
        <v>1</v>
      </c>
      <c r="F79" s="9">
        <v>3</v>
      </c>
      <c r="G79" s="80">
        <f t="shared" si="7"/>
        <v>0.01056338028169014</v>
      </c>
      <c r="H79" s="93">
        <f>C79</f>
        <v>1</v>
      </c>
      <c r="I79" s="93">
        <f>F79</f>
        <v>3</v>
      </c>
      <c r="J79" s="81">
        <f t="shared" si="8"/>
        <v>0.002277904328018223</v>
      </c>
    </row>
    <row r="80" spans="1:10" ht="12.75">
      <c r="A80" s="79" t="s">
        <v>779</v>
      </c>
      <c r="B80" s="79" t="s">
        <v>780</v>
      </c>
      <c r="C80" s="79">
        <v>2</v>
      </c>
      <c r="D80" s="79">
        <v>9</v>
      </c>
      <c r="E80" s="79">
        <v>3</v>
      </c>
      <c r="F80" s="9">
        <f>SUM(D80+E80)</f>
        <v>12</v>
      </c>
      <c r="G80" s="80">
        <f t="shared" si="7"/>
        <v>0.04225352112676056</v>
      </c>
      <c r="H80" s="93">
        <f>'2018'!C63+C80</f>
        <v>3</v>
      </c>
      <c r="I80" s="93">
        <f>'2018'!G63+F80</f>
        <v>18</v>
      </c>
      <c r="J80" s="81">
        <f t="shared" si="8"/>
        <v>0.01366742596810934</v>
      </c>
    </row>
    <row r="81" spans="1:10" ht="12.75">
      <c r="A81" s="79" t="s">
        <v>752</v>
      </c>
      <c r="B81" s="79" t="s">
        <v>753</v>
      </c>
      <c r="C81" s="79"/>
      <c r="D81" s="79"/>
      <c r="E81" s="79"/>
      <c r="F81" s="9">
        <f>SUM(D81+E81)</f>
        <v>0</v>
      </c>
      <c r="G81" s="80">
        <f t="shared" si="7"/>
        <v>0</v>
      </c>
      <c r="H81" s="93">
        <f>'2016'!C75+C81</f>
        <v>1</v>
      </c>
      <c r="I81" s="93">
        <f>'2016'!G75+F81</f>
        <v>9</v>
      </c>
      <c r="J81" s="81">
        <f t="shared" si="8"/>
        <v>0.00683371298405467</v>
      </c>
    </row>
    <row r="82" spans="1:10" ht="12.75">
      <c r="A82" s="79" t="s">
        <v>846</v>
      </c>
      <c r="B82" s="79" t="s">
        <v>847</v>
      </c>
      <c r="C82" s="79">
        <v>1</v>
      </c>
      <c r="D82" s="79">
        <v>3</v>
      </c>
      <c r="E82" s="79">
        <v>2</v>
      </c>
      <c r="F82" s="9">
        <v>5</v>
      </c>
      <c r="G82" s="80">
        <f t="shared" si="7"/>
        <v>0.017605633802816902</v>
      </c>
      <c r="H82" s="93">
        <f>C82</f>
        <v>1</v>
      </c>
      <c r="I82" s="93">
        <f>F82</f>
        <v>5</v>
      </c>
      <c r="J82" s="81">
        <f t="shared" si="8"/>
        <v>0.0037965072133637054</v>
      </c>
    </row>
    <row r="83" spans="1:10" ht="12.75">
      <c r="A83" s="79" t="s">
        <v>781</v>
      </c>
      <c r="B83" s="79" t="s">
        <v>782</v>
      </c>
      <c r="C83" s="79"/>
      <c r="D83" s="79"/>
      <c r="E83" s="79"/>
      <c r="F83" s="9">
        <f>SUM(D83+E83)</f>
        <v>0</v>
      </c>
      <c r="G83" s="80">
        <f t="shared" si="7"/>
        <v>0</v>
      </c>
      <c r="H83" s="93">
        <f>'2018'!C69+C83</f>
        <v>1</v>
      </c>
      <c r="I83" s="93">
        <f>'2018'!G69+F83</f>
        <v>7</v>
      </c>
      <c r="J83" s="81">
        <f t="shared" si="8"/>
        <v>0.005315110098709187</v>
      </c>
    </row>
    <row r="84" spans="1:12" ht="12.75">
      <c r="A84" s="79" t="s">
        <v>807</v>
      </c>
      <c r="B84" s="79" t="s">
        <v>808</v>
      </c>
      <c r="C84" s="79"/>
      <c r="D84" s="79"/>
      <c r="E84" s="79"/>
      <c r="F84" s="9">
        <f>SUM(D84+E84)</f>
        <v>0</v>
      </c>
      <c r="G84" s="80">
        <f t="shared" si="7"/>
        <v>0</v>
      </c>
      <c r="H84" s="93">
        <f>+'2019'!C73</f>
        <v>1</v>
      </c>
      <c r="I84" s="93">
        <f>+'2019'!F73</f>
        <v>5</v>
      </c>
      <c r="J84" s="81">
        <f t="shared" si="8"/>
        <v>0.0037965072133637054</v>
      </c>
      <c r="L84" t="s">
        <v>848</v>
      </c>
    </row>
    <row r="85" spans="1:10" ht="12.75">
      <c r="A85" s="79" t="s">
        <v>763</v>
      </c>
      <c r="B85" s="79" t="s">
        <v>764</v>
      </c>
      <c r="C85" s="79"/>
      <c r="D85" s="79"/>
      <c r="E85" s="79"/>
      <c r="F85" s="9">
        <f>SUM(D85+E85)</f>
        <v>0</v>
      </c>
      <c r="G85" s="80">
        <f t="shared" si="7"/>
        <v>0</v>
      </c>
      <c r="H85" s="93">
        <f>'2017'!C74+'2018'!C72+C85</f>
        <v>3</v>
      </c>
      <c r="I85" s="93">
        <f>'2017'!G74+'2018'!G72+F85</f>
        <v>17</v>
      </c>
      <c r="J85" s="81">
        <f t="shared" si="8"/>
        <v>0.012908124525436599</v>
      </c>
    </row>
    <row r="86" spans="1:10" ht="12.75">
      <c r="A86" s="79"/>
      <c r="B86" s="79"/>
      <c r="C86" s="79"/>
      <c r="D86" s="79"/>
      <c r="E86" s="79"/>
      <c r="F86" s="9"/>
      <c r="G86" s="80"/>
      <c r="H86" s="93"/>
      <c r="I86" s="93"/>
      <c r="J86" s="81"/>
    </row>
    <row r="87" spans="1:10" ht="12.75">
      <c r="A87" s="79"/>
      <c r="B87" s="79"/>
      <c r="C87" s="88"/>
      <c r="D87" s="88"/>
      <c r="E87" s="88"/>
      <c r="F87" s="9"/>
      <c r="G87" s="80"/>
      <c r="H87" s="95"/>
      <c r="I87" s="93"/>
      <c r="J87" s="81"/>
    </row>
    <row r="88" spans="1:10" ht="12.75">
      <c r="A88" s="79"/>
      <c r="B88" s="79"/>
      <c r="C88" s="79"/>
      <c r="D88" s="88"/>
      <c r="E88" s="88"/>
      <c r="F88" s="9"/>
      <c r="G88" s="80"/>
      <c r="I88" s="93"/>
      <c r="J88" s="81"/>
    </row>
    <row r="89" spans="1:10" ht="12.75">
      <c r="A89" s="79" t="s">
        <v>531</v>
      </c>
      <c r="B89" s="79"/>
      <c r="C89" s="88"/>
      <c r="D89" s="88">
        <f>SUM(D3:D85)</f>
        <v>143</v>
      </c>
      <c r="E89" s="88">
        <f>SUM(E3:E85)</f>
        <v>138</v>
      </c>
      <c r="F89" s="88">
        <f>SUM(F3:F85)</f>
        <v>281</v>
      </c>
      <c r="G89" s="80">
        <f>F89/$F$93</f>
        <v>0.9894366197183099</v>
      </c>
      <c r="H89" s="88"/>
      <c r="I89" s="88">
        <f>SUM(I3:I85)</f>
        <v>1310</v>
      </c>
      <c r="J89" s="81">
        <f>I89/$I$93</f>
        <v>0.9946848899012908</v>
      </c>
    </row>
    <row r="90" spans="1:10" ht="12.75">
      <c r="A90" s="79"/>
      <c r="B90" s="79"/>
      <c r="C90" s="79"/>
      <c r="D90" s="79"/>
      <c r="E90" s="79"/>
      <c r="F90" s="9"/>
      <c r="G90" s="80"/>
      <c r="H90" s="88"/>
      <c r="I90" s="95"/>
      <c r="J90" s="81"/>
    </row>
    <row r="91" spans="1:10" ht="12.75">
      <c r="A91" s="79" t="s">
        <v>462</v>
      </c>
      <c r="B91" s="79"/>
      <c r="C91" s="79">
        <v>3</v>
      </c>
      <c r="D91" s="79">
        <v>1</v>
      </c>
      <c r="E91" s="89">
        <v>2</v>
      </c>
      <c r="F91" s="9">
        <v>3</v>
      </c>
      <c r="G91" s="80">
        <f>F91/$F$93</f>
        <v>0.01056338028169014</v>
      </c>
      <c r="H91" s="88"/>
      <c r="I91" s="93">
        <f>'2014'!G80+F91</f>
        <v>7</v>
      </c>
      <c r="J91" s="81">
        <f>I91/$I$93</f>
        <v>0.005315110098709187</v>
      </c>
    </row>
    <row r="92" spans="1:10" ht="12.75">
      <c r="A92" s="79"/>
      <c r="B92" s="79"/>
      <c r="C92" s="79"/>
      <c r="D92" s="79"/>
      <c r="E92" s="79"/>
      <c r="G92" s="80"/>
      <c r="H92" s="88">
        <f>SUM(H3:H83)</f>
        <v>169</v>
      </c>
      <c r="I92" s="93"/>
      <c r="J92" s="81"/>
    </row>
    <row r="93" spans="1:9" ht="12.75">
      <c r="A93" s="79" t="s">
        <v>533</v>
      </c>
      <c r="B93" s="79"/>
      <c r="C93" s="91">
        <f>SUM(C3:C91)</f>
        <v>42</v>
      </c>
      <c r="D93" s="79">
        <f>D89+D91</f>
        <v>144</v>
      </c>
      <c r="E93" s="88">
        <f>SUM(E3:E85)</f>
        <v>138</v>
      </c>
      <c r="F93" s="9">
        <f>SUM(F89+F91)</f>
        <v>284</v>
      </c>
      <c r="G93" s="80">
        <f>F93/$F$93</f>
        <v>1</v>
      </c>
      <c r="I93" s="93">
        <f>I89+I91</f>
        <v>1317</v>
      </c>
    </row>
    <row r="94" spans="1:10" ht="12.75">
      <c r="A94" s="79"/>
      <c r="B94" s="79"/>
      <c r="C94" s="79"/>
      <c r="D94" s="79"/>
      <c r="E94" s="79"/>
      <c r="J94" s="88"/>
    </row>
    <row r="95" spans="1:10" ht="12.75">
      <c r="A95" s="79"/>
      <c r="B95" s="79"/>
      <c r="C95" s="79"/>
      <c r="D95" s="79"/>
      <c r="E95" s="79"/>
      <c r="H95" s="88"/>
      <c r="J95" s="88"/>
    </row>
    <row r="96" spans="1:10" ht="12.75">
      <c r="A96" s="88" t="s">
        <v>6</v>
      </c>
      <c r="B96" s="79">
        <v>30</v>
      </c>
      <c r="C96" s="88"/>
      <c r="D96" s="88"/>
      <c r="E96" s="88"/>
      <c r="F96" s="88"/>
      <c r="G96" s="88"/>
      <c r="H96" s="88"/>
      <c r="I96" s="88"/>
      <c r="J96" s="88"/>
    </row>
    <row r="97" spans="1:10" ht="12.75">
      <c r="A97" s="88" t="s">
        <v>7</v>
      </c>
      <c r="B97" s="88">
        <v>39</v>
      </c>
      <c r="C97" s="88"/>
      <c r="D97" s="88"/>
      <c r="E97" s="88"/>
      <c r="F97" s="88"/>
      <c r="G97" s="88"/>
      <c r="H97" s="88"/>
      <c r="I97" s="88"/>
      <c r="J97" s="88"/>
    </row>
    <row r="98" spans="1:10" ht="12.75">
      <c r="A98" s="88" t="s">
        <v>563</v>
      </c>
      <c r="B98" s="90">
        <f>4*(B96*B97)/(B96+B97)</f>
        <v>67.82608695652173</v>
      </c>
      <c r="G98" s="88"/>
      <c r="H98" s="88"/>
      <c r="I98" s="88"/>
      <c r="J98" s="88"/>
    </row>
    <row r="99" spans="1:10" ht="12.75">
      <c r="A99" s="88"/>
      <c r="B99" s="88"/>
      <c r="D99" s="88"/>
      <c r="E99" s="88"/>
      <c r="F99" s="88"/>
      <c r="G99" s="88"/>
      <c r="H99" s="88"/>
      <c r="I99" s="88"/>
      <c r="J99" s="88"/>
    </row>
    <row r="100" spans="1:10" ht="12.75">
      <c r="A100" s="88" t="s">
        <v>564</v>
      </c>
      <c r="B100" s="90">
        <f>(B98/B97)*50</f>
        <v>86.95652173913044</v>
      </c>
      <c r="D100" s="88"/>
      <c r="E100" s="88"/>
      <c r="F100" s="88"/>
      <c r="G100" s="88"/>
      <c r="H100" s="88"/>
      <c r="I100" s="88"/>
      <c r="J100" s="88"/>
    </row>
    <row r="101" spans="1:9" ht="12.75">
      <c r="A101" s="88"/>
      <c r="B101" s="88"/>
      <c r="C101" s="88"/>
      <c r="D101" s="88"/>
      <c r="E101" s="88"/>
      <c r="F101" s="88"/>
      <c r="G101" s="88"/>
      <c r="H101" s="88"/>
      <c r="I101" s="88"/>
    </row>
    <row r="102" spans="1:10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ht="12.75">
      <c r="A103" s="88" t="s">
        <v>534</v>
      </c>
      <c r="J103" s="88"/>
    </row>
    <row r="104" spans="1:10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 ht="12.75">
      <c r="A105" s="88" t="s">
        <v>6</v>
      </c>
      <c r="B105" s="88">
        <f>'2013'!B91+'2014'!B84+'2015'!B87+'2016'!B91+B96</f>
        <v>144</v>
      </c>
      <c r="C105" s="88"/>
      <c r="D105" s="88"/>
      <c r="E105" s="88"/>
      <c r="F105" s="88"/>
      <c r="G105" s="88"/>
      <c r="H105" s="88"/>
      <c r="I105" s="88"/>
      <c r="J105" s="88"/>
    </row>
    <row r="106" spans="1:10" ht="12.75">
      <c r="A106" s="88" t="s">
        <v>7</v>
      </c>
      <c r="B106" s="88">
        <f>'2013'!B92+'2014'!B85+B97+'2015'!B88+'2016'!B92+B97</f>
        <v>232</v>
      </c>
      <c r="C106" s="88"/>
      <c r="D106" s="88"/>
      <c r="E106" s="88"/>
      <c r="F106" s="88"/>
      <c r="G106" s="88"/>
      <c r="H106" s="88"/>
      <c r="I106" s="88"/>
      <c r="J106" s="88"/>
    </row>
    <row r="107" spans="1:10" ht="12.75">
      <c r="A107" s="88" t="s">
        <v>563</v>
      </c>
      <c r="B107" s="90">
        <f>4*(B105*B106)/(B105+B106)</f>
        <v>355.40425531914894</v>
      </c>
      <c r="C107" s="88"/>
      <c r="D107" s="88"/>
      <c r="E107" s="88"/>
      <c r="F107" s="88"/>
      <c r="G107" s="88"/>
      <c r="H107" s="88"/>
      <c r="I107" s="88"/>
      <c r="J107" s="88"/>
    </row>
    <row r="108" spans="1:9" ht="12.75">
      <c r="A108" s="88"/>
      <c r="B108" s="88"/>
      <c r="C108" s="88"/>
      <c r="D108" s="88"/>
      <c r="E108" s="88"/>
      <c r="F108" s="88"/>
      <c r="G108" s="88"/>
      <c r="H108" s="88"/>
      <c r="I108" s="88"/>
    </row>
    <row r="109" spans="1:9" ht="12.75">
      <c r="A109" s="88" t="s">
        <v>564</v>
      </c>
      <c r="B109" s="90">
        <f>(B107/B106)*50</f>
        <v>76.59574468085107</v>
      </c>
      <c r="C109" s="88"/>
      <c r="D109" s="88"/>
      <c r="E109" s="88"/>
      <c r="F109" s="88"/>
      <c r="G109" s="88"/>
      <c r="I109" s="88"/>
    </row>
  </sheetData>
  <sheetProtection selectLockedCells="1" selectUnlockedCells="1"/>
  <mergeCells count="7">
    <mergeCell ref="K1:K2"/>
    <mergeCell ref="C1:C2"/>
    <mergeCell ref="D1:D2"/>
    <mergeCell ref="E1:E2"/>
    <mergeCell ref="H1:H2"/>
    <mergeCell ref="I1:I2"/>
    <mergeCell ref="J1:J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0" zoomScaleNormal="90" zoomScalePageLayoutView="0" workbookViewId="0" topLeftCell="A1">
      <selection activeCell="N12" sqref="N12"/>
    </sheetView>
  </sheetViews>
  <sheetFormatPr defaultColWidth="11.57421875" defaultRowHeight="12.75"/>
  <cols>
    <col min="1" max="1" width="29.7109375" style="0" customWidth="1"/>
    <col min="2" max="2" width="17.421875" style="0" customWidth="1"/>
  </cols>
  <sheetData>
    <row r="1" spans="1:12" ht="12.75" customHeight="1">
      <c r="A1" s="73" t="s">
        <v>0</v>
      </c>
      <c r="B1" s="74">
        <v>2021</v>
      </c>
      <c r="C1" s="106" t="s">
        <v>4</v>
      </c>
      <c r="D1" s="107" t="s">
        <v>368</v>
      </c>
      <c r="E1" s="106" t="s">
        <v>6</v>
      </c>
      <c r="F1" s="106" t="s">
        <v>7</v>
      </c>
      <c r="G1" s="73"/>
      <c r="H1" s="75"/>
      <c r="I1" s="106" t="s">
        <v>719</v>
      </c>
      <c r="J1" s="106" t="s">
        <v>720</v>
      </c>
      <c r="K1" s="109" t="s">
        <v>322</v>
      </c>
      <c r="L1" s="108" t="s">
        <v>13</v>
      </c>
    </row>
    <row r="2" spans="1:12" ht="17.25">
      <c r="A2" s="76" t="s">
        <v>431</v>
      </c>
      <c r="B2" s="76" t="s">
        <v>3</v>
      </c>
      <c r="C2" s="106"/>
      <c r="D2" s="107"/>
      <c r="E2" s="106"/>
      <c r="F2" s="106"/>
      <c r="G2" s="73" t="s">
        <v>8</v>
      </c>
      <c r="H2" s="75" t="s">
        <v>9</v>
      </c>
      <c r="I2" s="106"/>
      <c r="J2" s="106"/>
      <c r="K2" s="109"/>
      <c r="L2" s="108"/>
    </row>
    <row r="3" spans="1:11" ht="12.75">
      <c r="A3" s="79" t="s">
        <v>809</v>
      </c>
      <c r="B3" s="79" t="s">
        <v>810</v>
      </c>
      <c r="C3" s="79"/>
      <c r="D3" s="79"/>
      <c r="E3" s="79"/>
      <c r="F3" s="79"/>
      <c r="G3" s="9">
        <f aca="true" t="shared" si="0" ref="G3:G34">SUM(E3+F3)</f>
        <v>0</v>
      </c>
      <c r="H3" s="80">
        <f aca="true" t="shared" si="1" ref="H3:H34">G3/$G$84</f>
        <v>0</v>
      </c>
      <c r="I3" s="93">
        <f>'2020'!H3+C3</f>
        <v>1</v>
      </c>
      <c r="J3" s="93">
        <f>'2020'!I3+G3</f>
        <v>7</v>
      </c>
      <c r="K3" s="81">
        <f aca="true" t="shared" si="2" ref="K3:K34">J3/$J$84</f>
        <v>0.006156552330694811</v>
      </c>
    </row>
    <row r="4" spans="1:11" ht="12.75">
      <c r="A4" s="79" t="s">
        <v>671</v>
      </c>
      <c r="B4" s="79" t="s">
        <v>672</v>
      </c>
      <c r="C4" s="79"/>
      <c r="D4" s="79"/>
      <c r="E4" s="79"/>
      <c r="F4" s="79"/>
      <c r="G4" s="9">
        <f t="shared" si="0"/>
        <v>0</v>
      </c>
      <c r="H4" s="80">
        <f t="shared" si="1"/>
        <v>0</v>
      </c>
      <c r="I4" s="93">
        <f>'2017'!C4+'2019'!C3</f>
        <v>2</v>
      </c>
      <c r="J4" s="93">
        <f>'2017'!G4+'2019'!F3</f>
        <v>7</v>
      </c>
      <c r="K4" s="81">
        <f t="shared" si="2"/>
        <v>0.006156552330694811</v>
      </c>
    </row>
    <row r="5" spans="1:11" ht="12.75">
      <c r="A5" s="79" t="s">
        <v>811</v>
      </c>
      <c r="B5" s="79" t="s">
        <v>812</v>
      </c>
      <c r="C5" s="79">
        <v>1</v>
      </c>
      <c r="D5" s="79"/>
      <c r="E5" s="79">
        <v>4</v>
      </c>
      <c r="F5" s="79">
        <v>1</v>
      </c>
      <c r="G5" s="9">
        <f t="shared" si="0"/>
        <v>5</v>
      </c>
      <c r="H5" s="80">
        <f t="shared" si="1"/>
        <v>0.029239766081871343</v>
      </c>
      <c r="I5" s="93">
        <f>'2020'!C5+C5</f>
        <v>2</v>
      </c>
      <c r="J5" s="93">
        <f>'2020'!F5+G5</f>
        <v>9</v>
      </c>
      <c r="K5" s="81">
        <f t="shared" si="2"/>
        <v>0.0079155672823219</v>
      </c>
    </row>
    <row r="6" spans="1:11" ht="12.75">
      <c r="A6" s="79" t="s">
        <v>783</v>
      </c>
      <c r="B6" s="79" t="s">
        <v>784</v>
      </c>
      <c r="C6" s="79"/>
      <c r="D6" s="79"/>
      <c r="E6" s="79"/>
      <c r="F6" s="79"/>
      <c r="G6" s="9">
        <f t="shared" si="0"/>
        <v>0</v>
      </c>
      <c r="H6" s="80">
        <f t="shared" si="1"/>
        <v>0</v>
      </c>
      <c r="I6" s="93">
        <f>'2019'!C4</f>
        <v>1</v>
      </c>
      <c r="J6" s="93">
        <f>'2019'!F4</f>
        <v>8</v>
      </c>
      <c r="K6" s="81">
        <f t="shared" si="2"/>
        <v>0.007036059806508356</v>
      </c>
    </row>
    <row r="7" spans="1:11" ht="12.75">
      <c r="A7" s="79" t="s">
        <v>785</v>
      </c>
      <c r="B7" s="79" t="s">
        <v>786</v>
      </c>
      <c r="C7" s="79"/>
      <c r="D7" s="79"/>
      <c r="E7" s="79"/>
      <c r="F7" s="79"/>
      <c r="G7" s="9">
        <f t="shared" si="0"/>
        <v>0</v>
      </c>
      <c r="H7" s="80">
        <f t="shared" si="1"/>
        <v>0</v>
      </c>
      <c r="I7" s="93">
        <f>'2019'!C6</f>
        <v>1</v>
      </c>
      <c r="J7" s="93">
        <f>'2019'!F6</f>
        <v>5</v>
      </c>
      <c r="K7" s="81">
        <f t="shared" si="2"/>
        <v>0.0043975373790677225</v>
      </c>
    </row>
    <row r="8" spans="1:11" ht="12.75">
      <c r="A8" s="79" t="s">
        <v>813</v>
      </c>
      <c r="B8" s="79" t="s">
        <v>814</v>
      </c>
      <c r="C8" s="79"/>
      <c r="D8" s="79"/>
      <c r="E8" s="79"/>
      <c r="F8" s="79"/>
      <c r="G8" s="9">
        <f t="shared" si="0"/>
        <v>0</v>
      </c>
      <c r="H8" s="80">
        <f t="shared" si="1"/>
        <v>0</v>
      </c>
      <c r="I8" s="93">
        <f>'2020'!C9</f>
        <v>1</v>
      </c>
      <c r="J8" s="93">
        <f>'2020'!F9</f>
        <v>7</v>
      </c>
      <c r="K8" s="81">
        <f t="shared" si="2"/>
        <v>0.006156552330694811</v>
      </c>
    </row>
    <row r="9" spans="1:11" ht="12.75">
      <c r="A9" s="79" t="s">
        <v>765</v>
      </c>
      <c r="B9" s="79" t="s">
        <v>766</v>
      </c>
      <c r="C9" s="79"/>
      <c r="D9" s="79"/>
      <c r="E9" s="79"/>
      <c r="F9" s="79"/>
      <c r="G9" s="9">
        <f t="shared" si="0"/>
        <v>0</v>
      </c>
      <c r="H9" s="80">
        <f t="shared" si="1"/>
        <v>0</v>
      </c>
      <c r="I9" s="93">
        <f>'2018'!C6+C9+'2020'!C10</f>
        <v>3</v>
      </c>
      <c r="J9" s="93">
        <f>'2018'!G6+G9+'2020'!F10</f>
        <v>17</v>
      </c>
      <c r="K9" s="81">
        <f t="shared" si="2"/>
        <v>0.014951627088830254</v>
      </c>
    </row>
    <row r="10" spans="1:12" ht="12.75">
      <c r="A10" s="79" t="s">
        <v>699</v>
      </c>
      <c r="B10" s="79" t="s">
        <v>700</v>
      </c>
      <c r="C10" s="79">
        <v>1</v>
      </c>
      <c r="D10" s="79"/>
      <c r="E10" s="79">
        <v>1</v>
      </c>
      <c r="F10" s="79">
        <v>3</v>
      </c>
      <c r="G10" s="9">
        <f t="shared" si="0"/>
        <v>4</v>
      </c>
      <c r="H10" s="80">
        <f t="shared" si="1"/>
        <v>0.023391812865497075</v>
      </c>
      <c r="I10" s="93">
        <f>C10</f>
        <v>1</v>
      </c>
      <c r="J10" s="93">
        <f>G10</f>
        <v>4</v>
      </c>
      <c r="K10" s="81">
        <f t="shared" si="2"/>
        <v>0.003518029903254178</v>
      </c>
      <c r="L10" t="s">
        <v>180</v>
      </c>
    </row>
    <row r="11" spans="1:11" ht="12.75">
      <c r="A11" s="79" t="s">
        <v>815</v>
      </c>
      <c r="B11" s="79" t="s">
        <v>816</v>
      </c>
      <c r="C11" s="79"/>
      <c r="D11" s="79"/>
      <c r="E11" s="79"/>
      <c r="F11" s="79"/>
      <c r="G11" s="9">
        <f t="shared" si="0"/>
        <v>0</v>
      </c>
      <c r="H11" s="80">
        <f t="shared" si="1"/>
        <v>0</v>
      </c>
      <c r="I11" s="93">
        <f>'2020'!C12+C11</f>
        <v>1</v>
      </c>
      <c r="J11" s="93">
        <f>'2020'!F12+G11</f>
        <v>9</v>
      </c>
      <c r="K11" s="81">
        <f t="shared" si="2"/>
        <v>0.0079155672823219</v>
      </c>
    </row>
    <row r="12" spans="1:11" ht="12.75">
      <c r="A12" s="79" t="s">
        <v>33</v>
      </c>
      <c r="B12" s="79" t="s">
        <v>849</v>
      </c>
      <c r="C12" s="79">
        <v>1</v>
      </c>
      <c r="D12" s="79"/>
      <c r="E12" s="79">
        <v>5</v>
      </c>
      <c r="F12" s="79">
        <v>1</v>
      </c>
      <c r="G12" s="9">
        <f t="shared" si="0"/>
        <v>6</v>
      </c>
      <c r="H12" s="80">
        <f t="shared" si="1"/>
        <v>0.03508771929824561</v>
      </c>
      <c r="I12" s="93">
        <f>C12</f>
        <v>1</v>
      </c>
      <c r="J12" s="93">
        <f>G12</f>
        <v>6</v>
      </c>
      <c r="K12" s="81">
        <f t="shared" si="2"/>
        <v>0.005277044854881266</v>
      </c>
    </row>
    <row r="13" spans="1:11" ht="12.75">
      <c r="A13" s="79" t="s">
        <v>850</v>
      </c>
      <c r="B13" s="79" t="s">
        <v>788</v>
      </c>
      <c r="C13" s="79"/>
      <c r="D13" s="79"/>
      <c r="E13" s="79"/>
      <c r="F13" s="79"/>
      <c r="G13" s="9">
        <f t="shared" si="0"/>
        <v>0</v>
      </c>
      <c r="H13" s="80">
        <f t="shared" si="1"/>
        <v>0</v>
      </c>
      <c r="I13" s="93">
        <f>'2019'!C11</f>
        <v>2</v>
      </c>
      <c r="J13" s="93">
        <f>'2019'!F11</f>
        <v>9</v>
      </c>
      <c r="K13" s="81">
        <f t="shared" si="2"/>
        <v>0.0079155672823219</v>
      </c>
    </row>
    <row r="14" spans="1:11" ht="12.75">
      <c r="A14" s="79" t="s">
        <v>789</v>
      </c>
      <c r="B14" s="79" t="s">
        <v>790</v>
      </c>
      <c r="C14" s="79">
        <v>2</v>
      </c>
      <c r="D14" s="79"/>
      <c r="E14" s="79">
        <v>7</v>
      </c>
      <c r="F14" s="79">
        <v>6</v>
      </c>
      <c r="G14" s="9">
        <f t="shared" si="0"/>
        <v>13</v>
      </c>
      <c r="H14" s="80">
        <f t="shared" si="1"/>
        <v>0.07602339181286549</v>
      </c>
      <c r="I14" s="93">
        <f>'2019'!C12+'2020'!C15+C14</f>
        <v>6</v>
      </c>
      <c r="J14" s="93">
        <f>'2019'!F12+'2020'!F15+G14</f>
        <v>44</v>
      </c>
      <c r="K14" s="81">
        <f t="shared" si="2"/>
        <v>0.03869832893579595</v>
      </c>
    </row>
    <row r="15" spans="1:11" ht="12.75">
      <c r="A15" s="79" t="s">
        <v>723</v>
      </c>
      <c r="B15" s="79" t="s">
        <v>724</v>
      </c>
      <c r="C15" s="79">
        <v>2</v>
      </c>
      <c r="D15" s="79"/>
      <c r="E15" s="79">
        <v>4</v>
      </c>
      <c r="F15" s="79">
        <v>6</v>
      </c>
      <c r="G15" s="9">
        <f t="shared" si="0"/>
        <v>10</v>
      </c>
      <c r="H15" s="80">
        <f t="shared" si="1"/>
        <v>0.05847953216374269</v>
      </c>
      <c r="I15" s="93">
        <f>'2018'!C10+C15+'2019'!C13</f>
        <v>5</v>
      </c>
      <c r="J15" s="93">
        <f>'2018'!G10+G15+'2019'!F13</f>
        <v>33</v>
      </c>
      <c r="K15" s="81">
        <f t="shared" si="2"/>
        <v>0.029023746701846966</v>
      </c>
    </row>
    <row r="16" spans="1:11" ht="12.75">
      <c r="A16" s="79" t="s">
        <v>851</v>
      </c>
      <c r="B16" s="79" t="s">
        <v>852</v>
      </c>
      <c r="C16" s="79">
        <v>1</v>
      </c>
      <c r="D16" s="79"/>
      <c r="E16" s="79">
        <v>6</v>
      </c>
      <c r="F16" s="79">
        <v>0</v>
      </c>
      <c r="G16" s="9">
        <f t="shared" si="0"/>
        <v>6</v>
      </c>
      <c r="H16" s="80">
        <f t="shared" si="1"/>
        <v>0.03508771929824561</v>
      </c>
      <c r="I16" s="93">
        <f>C16</f>
        <v>1</v>
      </c>
      <c r="J16" s="93">
        <f>G16</f>
        <v>6</v>
      </c>
      <c r="K16" s="81">
        <f t="shared" si="2"/>
        <v>0.005277044854881266</v>
      </c>
    </row>
    <row r="17" spans="1:11" ht="12.75">
      <c r="A17" s="79" t="s">
        <v>754</v>
      </c>
      <c r="B17" s="79" t="s">
        <v>755</v>
      </c>
      <c r="C17" s="79"/>
      <c r="D17" s="79"/>
      <c r="E17" s="79"/>
      <c r="F17" s="79"/>
      <c r="G17" s="9">
        <f t="shared" si="0"/>
        <v>0</v>
      </c>
      <c r="H17" s="80">
        <f t="shared" si="1"/>
        <v>0</v>
      </c>
      <c r="I17" s="93">
        <f>'2017'!C12+'2018'!C11+C17</f>
        <v>3</v>
      </c>
      <c r="J17" s="93">
        <f>'2017'!G12+'2018'!G11+G17</f>
        <v>27</v>
      </c>
      <c r="K17" s="81">
        <f t="shared" si="2"/>
        <v>0.023746701846965697</v>
      </c>
    </row>
    <row r="18" spans="1:11" ht="12.75">
      <c r="A18" s="79" t="s">
        <v>725</v>
      </c>
      <c r="B18" s="79" t="s">
        <v>726</v>
      </c>
      <c r="C18" s="79"/>
      <c r="D18" s="79"/>
      <c r="E18" s="79"/>
      <c r="F18" s="79"/>
      <c r="G18" s="9">
        <f t="shared" si="0"/>
        <v>0</v>
      </c>
      <c r="H18" s="80">
        <f t="shared" si="1"/>
        <v>0</v>
      </c>
      <c r="I18" s="93">
        <f>'2017'!C13+C18</f>
        <v>1</v>
      </c>
      <c r="J18" s="93">
        <f>'2017'!G13+G18</f>
        <v>6</v>
      </c>
      <c r="K18" s="81">
        <f t="shared" si="2"/>
        <v>0.005277044854881266</v>
      </c>
    </row>
    <row r="19" spans="1:11" ht="12.75">
      <c r="A19" s="79" t="s">
        <v>791</v>
      </c>
      <c r="B19" s="79" t="s">
        <v>792</v>
      </c>
      <c r="C19" s="79"/>
      <c r="D19" s="79"/>
      <c r="E19" s="79"/>
      <c r="F19" s="79"/>
      <c r="G19" s="9">
        <f t="shared" si="0"/>
        <v>0</v>
      </c>
      <c r="H19" s="80">
        <f t="shared" si="1"/>
        <v>0</v>
      </c>
      <c r="I19" s="93">
        <f>'2019'!C14</f>
        <v>3</v>
      </c>
      <c r="J19" s="93">
        <f>'2019'!F14</f>
        <v>25</v>
      </c>
      <c r="K19" s="81">
        <f t="shared" si="2"/>
        <v>0.02198768689533861</v>
      </c>
    </row>
    <row r="20" spans="1:11" ht="12.75">
      <c r="A20" s="79" t="s">
        <v>793</v>
      </c>
      <c r="B20" s="79" t="s">
        <v>794</v>
      </c>
      <c r="C20" s="79">
        <v>1</v>
      </c>
      <c r="D20" s="79"/>
      <c r="E20" s="79">
        <v>1</v>
      </c>
      <c r="F20" s="79">
        <v>3</v>
      </c>
      <c r="G20" s="9">
        <f t="shared" si="0"/>
        <v>4</v>
      </c>
      <c r="H20" s="80">
        <f t="shared" si="1"/>
        <v>0.023391812865497075</v>
      </c>
      <c r="I20" s="93">
        <f>'2019'!C20+'2020'!C21</f>
        <v>4</v>
      </c>
      <c r="J20" s="93">
        <f>'2019'!F20+'2020'!F21</f>
        <v>25</v>
      </c>
      <c r="K20" s="81">
        <f t="shared" si="2"/>
        <v>0.02198768689533861</v>
      </c>
    </row>
    <row r="21" spans="1:11" ht="12.75">
      <c r="A21" s="79" t="s">
        <v>641</v>
      </c>
      <c r="B21" s="79" t="s">
        <v>659</v>
      </c>
      <c r="C21" s="79"/>
      <c r="D21" s="79"/>
      <c r="E21" s="79"/>
      <c r="F21" s="79"/>
      <c r="G21" s="9">
        <f t="shared" si="0"/>
        <v>0</v>
      </c>
      <c r="H21" s="80">
        <f t="shared" si="1"/>
        <v>0</v>
      </c>
      <c r="I21" s="93">
        <f>'2017'!C18</f>
        <v>1</v>
      </c>
      <c r="J21" s="93">
        <f>'2017'!G18</f>
        <v>7</v>
      </c>
      <c r="K21" s="81">
        <f t="shared" si="2"/>
        <v>0.006156552330694811</v>
      </c>
    </row>
    <row r="22" spans="1:11" ht="12.75">
      <c r="A22" s="79" t="s">
        <v>727</v>
      </c>
      <c r="B22" s="79" t="s">
        <v>728</v>
      </c>
      <c r="C22" s="79"/>
      <c r="D22" s="79"/>
      <c r="E22" s="79"/>
      <c r="F22" s="79"/>
      <c r="G22" s="9">
        <f t="shared" si="0"/>
        <v>0</v>
      </c>
      <c r="H22" s="80">
        <f t="shared" si="1"/>
        <v>0</v>
      </c>
      <c r="I22" s="93">
        <f>'2017'!C19+'2018'!C18+C22+'2019'!C23+'2020'!C23</f>
        <v>5</v>
      </c>
      <c r="J22" s="93">
        <f>'2017'!G19+'2018'!G18+G22+'2019'!F23+'2020'!F23</f>
        <v>44</v>
      </c>
      <c r="K22" s="81">
        <f t="shared" si="2"/>
        <v>0.03869832893579595</v>
      </c>
    </row>
    <row r="23" spans="1:11" ht="12.75">
      <c r="A23" s="79" t="s">
        <v>756</v>
      </c>
      <c r="B23" s="79" t="s">
        <v>757</v>
      </c>
      <c r="C23" s="79"/>
      <c r="D23" s="79"/>
      <c r="E23" s="79"/>
      <c r="F23" s="79"/>
      <c r="G23" s="9">
        <f t="shared" si="0"/>
        <v>0</v>
      </c>
      <c r="H23" s="80">
        <f t="shared" si="1"/>
        <v>0</v>
      </c>
      <c r="I23" s="93">
        <f>'2017'!C20+C23+'2019'!C24</f>
        <v>2</v>
      </c>
      <c r="J23" s="93">
        <f>'2017'!G20+G23+'2019'!F24</f>
        <v>17</v>
      </c>
      <c r="K23" s="81">
        <f t="shared" si="2"/>
        <v>0.014951627088830254</v>
      </c>
    </row>
    <row r="24" spans="1:11" ht="12.75">
      <c r="A24" s="79" t="s">
        <v>767</v>
      </c>
      <c r="B24" s="79" t="s">
        <v>768</v>
      </c>
      <c r="C24" s="79"/>
      <c r="D24" s="79"/>
      <c r="E24" s="79"/>
      <c r="F24" s="79"/>
      <c r="G24" s="9">
        <f t="shared" si="0"/>
        <v>0</v>
      </c>
      <c r="H24" s="80">
        <f t="shared" si="1"/>
        <v>0</v>
      </c>
      <c r="I24" s="93">
        <f>'2018'!C20+C24</f>
        <v>1</v>
      </c>
      <c r="J24" s="93">
        <f>'2018'!G20+G24</f>
        <v>8</v>
      </c>
      <c r="K24" s="81">
        <f t="shared" si="2"/>
        <v>0.007036059806508356</v>
      </c>
    </row>
    <row r="25" spans="1:12" ht="12.75">
      <c r="A25" s="79" t="s">
        <v>769</v>
      </c>
      <c r="B25" s="79" t="s">
        <v>770</v>
      </c>
      <c r="C25" s="79">
        <v>1</v>
      </c>
      <c r="D25" s="79"/>
      <c r="E25" s="79">
        <v>4</v>
      </c>
      <c r="F25" s="79">
        <v>4</v>
      </c>
      <c r="G25" s="9">
        <f t="shared" si="0"/>
        <v>8</v>
      </c>
      <c r="H25" s="80">
        <f t="shared" si="1"/>
        <v>0.04678362573099415</v>
      </c>
      <c r="I25" s="93">
        <f>'2018'!C21+C25+'2019'!C26+'2020'!C26+C25</f>
        <v>6</v>
      </c>
      <c r="J25" s="93">
        <f>'2018'!G21+'2019'!F26+'2020'!F26+G25</f>
        <v>45</v>
      </c>
      <c r="K25" s="81">
        <f t="shared" si="2"/>
        <v>0.0395778364116095</v>
      </c>
      <c r="L25" t="s">
        <v>180</v>
      </c>
    </row>
    <row r="26" spans="1:11" ht="12.75">
      <c r="A26" s="79" t="s">
        <v>818</v>
      </c>
      <c r="B26" s="79" t="s">
        <v>819</v>
      </c>
      <c r="C26" s="79"/>
      <c r="D26" s="79"/>
      <c r="E26" s="79"/>
      <c r="F26" s="79"/>
      <c r="G26" s="9">
        <f t="shared" si="0"/>
        <v>0</v>
      </c>
      <c r="H26" s="80">
        <f t="shared" si="1"/>
        <v>0</v>
      </c>
      <c r="I26" s="93">
        <f>'2020'!C27</f>
        <v>1</v>
      </c>
      <c r="J26" s="93">
        <f>'2020'!F27</f>
        <v>7</v>
      </c>
      <c r="K26" s="81">
        <f t="shared" si="2"/>
        <v>0.006156552330694811</v>
      </c>
    </row>
    <row r="27" spans="1:11" ht="12.75">
      <c r="A27" s="79" t="s">
        <v>795</v>
      </c>
      <c r="B27" s="79" t="s">
        <v>796</v>
      </c>
      <c r="C27" s="79"/>
      <c r="D27" s="79"/>
      <c r="E27" s="79"/>
      <c r="F27" s="79"/>
      <c r="G27" s="9">
        <f t="shared" si="0"/>
        <v>0</v>
      </c>
      <c r="H27" s="80">
        <f t="shared" si="1"/>
        <v>0</v>
      </c>
      <c r="I27" s="93">
        <f>'2019'!C27</f>
        <v>1</v>
      </c>
      <c r="J27" s="93">
        <f>'2019'!F27</f>
        <v>3</v>
      </c>
      <c r="K27" s="81">
        <f t="shared" si="2"/>
        <v>0.002638522427440633</v>
      </c>
    </row>
    <row r="28" spans="1:11" ht="12.75">
      <c r="A28" s="79" t="s">
        <v>797</v>
      </c>
      <c r="B28" s="79" t="s">
        <v>853</v>
      </c>
      <c r="C28" s="79"/>
      <c r="D28" s="79"/>
      <c r="E28" s="79"/>
      <c r="F28" s="79"/>
      <c r="G28" s="9">
        <f t="shared" si="0"/>
        <v>0</v>
      </c>
      <c r="H28" s="80">
        <f t="shared" si="1"/>
        <v>0</v>
      </c>
      <c r="I28" s="93">
        <f>'2019'!C28</f>
        <v>1</v>
      </c>
      <c r="J28" s="93">
        <f>'2019'!F28</f>
        <v>7</v>
      </c>
      <c r="K28" s="81">
        <f t="shared" si="2"/>
        <v>0.006156552330694811</v>
      </c>
    </row>
    <row r="29" spans="1:11" ht="12.75">
      <c r="A29" s="79" t="s">
        <v>854</v>
      </c>
      <c r="B29" s="79" t="s">
        <v>855</v>
      </c>
      <c r="C29" s="79"/>
      <c r="D29" s="79"/>
      <c r="E29" s="79"/>
      <c r="F29" s="79"/>
      <c r="G29" s="9">
        <f t="shared" si="0"/>
        <v>0</v>
      </c>
      <c r="H29" s="80">
        <f t="shared" si="1"/>
        <v>0</v>
      </c>
      <c r="I29" s="93">
        <f>'2020'!C30</f>
        <v>1</v>
      </c>
      <c r="J29" s="93">
        <f>'2020'!F30</f>
        <v>8</v>
      </c>
      <c r="K29" s="81">
        <f t="shared" si="2"/>
        <v>0.007036059806508356</v>
      </c>
    </row>
    <row r="30" spans="1:11" ht="12.75">
      <c r="A30" s="86" t="s">
        <v>643</v>
      </c>
      <c r="B30" s="79" t="s">
        <v>644</v>
      </c>
      <c r="C30" s="79"/>
      <c r="D30" s="79"/>
      <c r="E30" s="79"/>
      <c r="F30" s="79"/>
      <c r="G30" s="9">
        <f t="shared" si="0"/>
        <v>0</v>
      </c>
      <c r="H30" s="80">
        <f t="shared" si="1"/>
        <v>0</v>
      </c>
      <c r="I30" s="93">
        <f>'2017'!C21+C30</f>
        <v>2</v>
      </c>
      <c r="J30" s="93">
        <f>'2017'!G21+G30</f>
        <v>18</v>
      </c>
      <c r="K30" s="81">
        <f t="shared" si="2"/>
        <v>0.0158311345646438</v>
      </c>
    </row>
    <row r="31" spans="1:11" ht="12.75">
      <c r="A31" s="86" t="s">
        <v>660</v>
      </c>
      <c r="B31" s="79" t="s">
        <v>661</v>
      </c>
      <c r="C31" s="79"/>
      <c r="D31" s="79"/>
      <c r="E31" s="79"/>
      <c r="F31" s="79"/>
      <c r="G31" s="9">
        <f t="shared" si="0"/>
        <v>0</v>
      </c>
      <c r="H31" s="80">
        <f t="shared" si="1"/>
        <v>0</v>
      </c>
      <c r="I31" s="93">
        <f>'2017'!C23+C31</f>
        <v>1</v>
      </c>
      <c r="J31" s="93">
        <f>'2017'!G23+G31</f>
        <v>6</v>
      </c>
      <c r="K31" s="94">
        <f t="shared" si="2"/>
        <v>0.005277044854881266</v>
      </c>
    </row>
    <row r="32" spans="1:11" ht="12.75">
      <c r="A32" s="86" t="s">
        <v>771</v>
      </c>
      <c r="B32" s="79" t="s">
        <v>772</v>
      </c>
      <c r="C32" s="79"/>
      <c r="D32" s="79"/>
      <c r="E32" s="79"/>
      <c r="F32" s="79"/>
      <c r="G32" s="9">
        <f t="shared" si="0"/>
        <v>0</v>
      </c>
      <c r="H32" s="80">
        <f t="shared" si="1"/>
        <v>0</v>
      </c>
      <c r="I32" s="93">
        <f>'2018'!C25+C32+'2019'!C31+C32</f>
        <v>2</v>
      </c>
      <c r="J32" s="93">
        <f>'2018'!G25+G32+'2019'!F31</f>
        <v>20</v>
      </c>
      <c r="K32" s="94">
        <f t="shared" si="2"/>
        <v>0.01759014951627089</v>
      </c>
    </row>
    <row r="33" spans="1:11" ht="12.75">
      <c r="A33" s="86" t="s">
        <v>823</v>
      </c>
      <c r="B33" s="79" t="s">
        <v>824</v>
      </c>
      <c r="C33" s="79">
        <v>1</v>
      </c>
      <c r="D33" s="79"/>
      <c r="E33" s="79">
        <v>6</v>
      </c>
      <c r="F33" s="79">
        <v>4</v>
      </c>
      <c r="G33" s="9">
        <f t="shared" si="0"/>
        <v>10</v>
      </c>
      <c r="H33" s="80">
        <f t="shared" si="1"/>
        <v>0.05847953216374269</v>
      </c>
      <c r="I33" s="93">
        <f>'2020'!C34</f>
        <v>1</v>
      </c>
      <c r="J33" s="93">
        <f>'2020'!F34</f>
        <v>13</v>
      </c>
      <c r="K33" s="94">
        <f t="shared" si="2"/>
        <v>0.011433597185576077</v>
      </c>
    </row>
    <row r="34" spans="1:11" ht="12.75">
      <c r="A34" s="86" t="s">
        <v>799</v>
      </c>
      <c r="B34" s="79" t="s">
        <v>800</v>
      </c>
      <c r="C34" s="79"/>
      <c r="D34" s="79"/>
      <c r="E34" s="79"/>
      <c r="F34" s="79"/>
      <c r="G34" s="9">
        <f t="shared" si="0"/>
        <v>0</v>
      </c>
      <c r="H34" s="80">
        <f t="shared" si="1"/>
        <v>0</v>
      </c>
      <c r="I34" s="93">
        <f>'2019'!C32</f>
        <v>1</v>
      </c>
      <c r="J34" s="93">
        <f>'2019'!F32</f>
        <v>7</v>
      </c>
      <c r="K34" s="94">
        <f t="shared" si="2"/>
        <v>0.006156552330694811</v>
      </c>
    </row>
    <row r="35" spans="1:11" ht="12.75">
      <c r="A35" s="79" t="s">
        <v>825</v>
      </c>
      <c r="B35" s="79" t="s">
        <v>826</v>
      </c>
      <c r="C35" s="79"/>
      <c r="D35" s="79"/>
      <c r="E35" s="79"/>
      <c r="F35" s="79"/>
      <c r="G35" s="9">
        <f aca="true" t="shared" si="3" ref="G35:G66">SUM(E35+F35)</f>
        <v>0</v>
      </c>
      <c r="H35" s="80">
        <f aca="true" t="shared" si="4" ref="H35:H66">G35/$G$84</f>
        <v>0</v>
      </c>
      <c r="I35" s="93">
        <f>'2020'!C37</f>
        <v>1</v>
      </c>
      <c r="J35" s="93">
        <f>'2020'!F37</f>
        <v>5</v>
      </c>
      <c r="K35" s="94">
        <f aca="true" t="shared" si="5" ref="K35:K66">J35/$J$84</f>
        <v>0.0043975373790677225</v>
      </c>
    </row>
    <row r="36" spans="1:11" ht="12.75">
      <c r="A36" s="79" t="s">
        <v>856</v>
      </c>
      <c r="B36" s="79" t="s">
        <v>857</v>
      </c>
      <c r="C36" s="79">
        <v>1</v>
      </c>
      <c r="D36" s="79"/>
      <c r="E36" s="79">
        <v>4</v>
      </c>
      <c r="F36" s="79">
        <v>4</v>
      </c>
      <c r="G36" s="9">
        <f t="shared" si="3"/>
        <v>8</v>
      </c>
      <c r="H36" s="80">
        <f t="shared" si="4"/>
        <v>0.04678362573099415</v>
      </c>
      <c r="I36" s="93">
        <f>C36</f>
        <v>1</v>
      </c>
      <c r="J36" s="93">
        <f>G36</f>
        <v>8</v>
      </c>
      <c r="K36" s="94">
        <f t="shared" si="5"/>
        <v>0.007036059806508356</v>
      </c>
    </row>
    <row r="37" spans="1:11" ht="12.75">
      <c r="A37" s="79" t="s">
        <v>662</v>
      </c>
      <c r="B37" s="79" t="s">
        <v>663</v>
      </c>
      <c r="C37" s="79"/>
      <c r="D37" s="79"/>
      <c r="E37" s="79"/>
      <c r="F37" s="79"/>
      <c r="G37" s="9">
        <f t="shared" si="3"/>
        <v>0</v>
      </c>
      <c r="H37" s="80">
        <f t="shared" si="4"/>
        <v>0</v>
      </c>
      <c r="I37" s="93">
        <f>'2017'!C25</f>
        <v>2</v>
      </c>
      <c r="J37" s="93">
        <f>'2017'!G25</f>
        <v>18</v>
      </c>
      <c r="K37" s="94">
        <f t="shared" si="5"/>
        <v>0.0158311345646438</v>
      </c>
    </row>
    <row r="38" spans="1:11" ht="12.75">
      <c r="A38" s="79" t="s">
        <v>703</v>
      </c>
      <c r="B38" s="79" t="s">
        <v>704</v>
      </c>
      <c r="C38" s="79">
        <v>1</v>
      </c>
      <c r="D38" s="79"/>
      <c r="E38" s="79">
        <v>5</v>
      </c>
      <c r="F38" s="79">
        <v>4</v>
      </c>
      <c r="G38" s="9">
        <f t="shared" si="3"/>
        <v>9</v>
      </c>
      <c r="H38" s="80">
        <f t="shared" si="4"/>
        <v>0.05263157894736842</v>
      </c>
      <c r="I38" s="93">
        <f>C38+'2019'!C37+'2020'!C40</f>
        <v>6</v>
      </c>
      <c r="J38" s="93">
        <f>G38+'2019'!F37+'2020'!F40</f>
        <v>40</v>
      </c>
      <c r="K38" s="81">
        <f t="shared" si="5"/>
        <v>0.03518029903254178</v>
      </c>
    </row>
    <row r="39" spans="1:11" ht="12.75">
      <c r="A39" s="79" t="s">
        <v>758</v>
      </c>
      <c r="B39" s="79" t="s">
        <v>858</v>
      </c>
      <c r="C39" s="79"/>
      <c r="D39" s="79"/>
      <c r="E39" s="79"/>
      <c r="F39" s="79"/>
      <c r="G39" s="9">
        <f t="shared" si="3"/>
        <v>0</v>
      </c>
      <c r="H39" s="80">
        <f t="shared" si="4"/>
        <v>0</v>
      </c>
      <c r="I39" s="93">
        <f>'2017'!C32</f>
        <v>1</v>
      </c>
      <c r="J39" s="93">
        <f>'2017'!G32</f>
        <v>4</v>
      </c>
      <c r="K39" s="81">
        <f t="shared" si="5"/>
        <v>0.003518029903254178</v>
      </c>
    </row>
    <row r="40" spans="1:11" ht="12.75">
      <c r="A40" s="79" t="s">
        <v>801</v>
      </c>
      <c r="B40" s="79" t="s">
        <v>802</v>
      </c>
      <c r="C40" s="79"/>
      <c r="D40" s="79"/>
      <c r="E40" s="79"/>
      <c r="F40" s="79"/>
      <c r="G40" s="9">
        <f t="shared" si="3"/>
        <v>0</v>
      </c>
      <c r="H40" s="80">
        <f t="shared" si="4"/>
        <v>0</v>
      </c>
      <c r="I40" s="93">
        <f>'2019'!C41+'2020'!C42+C40</f>
        <v>2</v>
      </c>
      <c r="J40" s="93">
        <f>'2019'!F41+'2020'!F42+G40</f>
        <v>12</v>
      </c>
      <c r="K40" s="81">
        <f t="shared" si="5"/>
        <v>0.010554089709762533</v>
      </c>
    </row>
    <row r="41" spans="1:11" ht="12.75">
      <c r="A41" s="79" t="s">
        <v>730</v>
      </c>
      <c r="B41" s="79" t="s">
        <v>731</v>
      </c>
      <c r="C41" s="79"/>
      <c r="D41" s="79"/>
      <c r="E41" s="79"/>
      <c r="F41" s="79"/>
      <c r="G41" s="9">
        <f t="shared" si="3"/>
        <v>0</v>
      </c>
      <c r="H41" s="80">
        <f t="shared" si="4"/>
        <v>0</v>
      </c>
      <c r="I41" s="93">
        <f>'2017'!C33</f>
        <v>1</v>
      </c>
      <c r="J41" s="93">
        <f>'2017'!G33</f>
        <v>7</v>
      </c>
      <c r="K41" s="81">
        <f t="shared" si="5"/>
        <v>0.006156552330694811</v>
      </c>
    </row>
    <row r="42" spans="1:11" ht="12.75">
      <c r="A42" s="86" t="s">
        <v>693</v>
      </c>
      <c r="B42" s="79" t="s">
        <v>694</v>
      </c>
      <c r="C42" s="79"/>
      <c r="D42" s="79"/>
      <c r="E42" s="79"/>
      <c r="F42" s="79"/>
      <c r="G42" s="9">
        <f t="shared" si="3"/>
        <v>0</v>
      </c>
      <c r="H42" s="80">
        <f t="shared" si="4"/>
        <v>0</v>
      </c>
      <c r="I42" s="93">
        <f>'2017'!C34+'2018'!C36+C42</f>
        <v>4</v>
      </c>
      <c r="J42" s="93">
        <f>'2017'!G34+'2018'!G36+G42</f>
        <v>29</v>
      </c>
      <c r="K42" s="94">
        <f t="shared" si="5"/>
        <v>0.025505716798592787</v>
      </c>
    </row>
    <row r="43" spans="1:11" ht="12.75">
      <c r="A43" s="86" t="s">
        <v>803</v>
      </c>
      <c r="B43" s="79" t="s">
        <v>804</v>
      </c>
      <c r="C43" s="79"/>
      <c r="D43" s="79"/>
      <c r="E43" s="79"/>
      <c r="F43" s="79"/>
      <c r="G43" s="9">
        <f t="shared" si="3"/>
        <v>0</v>
      </c>
      <c r="H43" s="80">
        <f t="shared" si="4"/>
        <v>0</v>
      </c>
      <c r="I43" s="93">
        <f>'2019'!C44+C43</f>
        <v>1</v>
      </c>
      <c r="J43" s="93">
        <f>'2019'!F44+C43</f>
        <v>13</v>
      </c>
      <c r="K43" s="94">
        <f t="shared" si="5"/>
        <v>0.011433597185576077</v>
      </c>
    </row>
    <row r="44" spans="1:11" ht="12.75">
      <c r="A44" s="79" t="s">
        <v>709</v>
      </c>
      <c r="B44" s="79" t="s">
        <v>710</v>
      </c>
      <c r="C44" s="79"/>
      <c r="D44" s="79"/>
      <c r="E44" s="79"/>
      <c r="F44" s="79"/>
      <c r="G44" s="9">
        <f t="shared" si="3"/>
        <v>0</v>
      </c>
      <c r="H44" s="80">
        <f t="shared" si="4"/>
        <v>0</v>
      </c>
      <c r="I44" s="93">
        <f>'2017'!C35+'2018'!C37+C44+'2019'!C45</f>
        <v>3</v>
      </c>
      <c r="J44" s="93">
        <f>'2017'!G35+'2018'!G37+G44+'2019'!F45</f>
        <v>21</v>
      </c>
      <c r="K44" s="94">
        <f t="shared" si="5"/>
        <v>0.018469656992084433</v>
      </c>
    </row>
    <row r="45" spans="1:11" ht="12.75">
      <c r="A45" s="79" t="s">
        <v>711</v>
      </c>
      <c r="B45" s="79" t="s">
        <v>712</v>
      </c>
      <c r="C45" s="79"/>
      <c r="D45" s="79"/>
      <c r="E45" s="79"/>
      <c r="F45" s="79"/>
      <c r="G45" s="9">
        <f t="shared" si="3"/>
        <v>0</v>
      </c>
      <c r="H45" s="80">
        <f t="shared" si="4"/>
        <v>0</v>
      </c>
      <c r="I45" s="93">
        <f>'2019'!C46+'2020'!C47</f>
        <v>2</v>
      </c>
      <c r="J45" s="93">
        <f>'2019'!F46+'2020'!F47</f>
        <v>17</v>
      </c>
      <c r="K45" s="81">
        <f t="shared" si="5"/>
        <v>0.014951627088830254</v>
      </c>
    </row>
    <row r="46" spans="1:11" ht="12.75">
      <c r="A46" s="79" t="s">
        <v>732</v>
      </c>
      <c r="B46" s="79" t="s">
        <v>733</v>
      </c>
      <c r="C46" s="79"/>
      <c r="D46" s="79"/>
      <c r="E46" s="79"/>
      <c r="F46" s="79"/>
      <c r="G46" s="9">
        <f t="shared" si="3"/>
        <v>0</v>
      </c>
      <c r="H46" s="80">
        <f t="shared" si="4"/>
        <v>0</v>
      </c>
      <c r="I46" s="93">
        <f>'2017'!C39+C46+'2018'!C40+'2019'!C48+'2020'!C49</f>
        <v>4</v>
      </c>
      <c r="J46" s="93">
        <f>'2017'!G39+G46+'2018'!G40+'2019'!F48+'2020'!F49</f>
        <v>23</v>
      </c>
      <c r="K46" s="81">
        <f t="shared" si="5"/>
        <v>0.020228671943711522</v>
      </c>
    </row>
    <row r="47" spans="1:11" ht="12.75">
      <c r="A47" s="79" t="s">
        <v>734</v>
      </c>
      <c r="B47" s="79" t="s">
        <v>735</v>
      </c>
      <c r="C47" s="79"/>
      <c r="D47" s="79"/>
      <c r="E47" s="79"/>
      <c r="F47" s="79"/>
      <c r="G47" s="9">
        <f t="shared" si="3"/>
        <v>0</v>
      </c>
      <c r="H47" s="80">
        <f t="shared" si="4"/>
        <v>0</v>
      </c>
      <c r="I47" s="93">
        <f>'2017'!C40+'2018'!C41+C47+'2019'!C49</f>
        <v>3</v>
      </c>
      <c r="J47" s="93">
        <f>'2017'!G40+'2018'!G41+G47+'2019'!F49</f>
        <v>26</v>
      </c>
      <c r="K47" s="81">
        <f t="shared" si="5"/>
        <v>0.022867194371152155</v>
      </c>
    </row>
    <row r="48" spans="1:11" ht="12.75">
      <c r="A48" s="79" t="s">
        <v>827</v>
      </c>
      <c r="B48" s="79" t="s">
        <v>828</v>
      </c>
      <c r="C48" s="79">
        <v>1</v>
      </c>
      <c r="D48" s="79"/>
      <c r="E48" s="79">
        <v>9</v>
      </c>
      <c r="F48" s="79">
        <v>4</v>
      </c>
      <c r="G48" s="9">
        <f t="shared" si="3"/>
        <v>13</v>
      </c>
      <c r="H48" s="80">
        <f t="shared" si="4"/>
        <v>0.07602339181286549</v>
      </c>
      <c r="I48" s="93">
        <f>'2020'!C52+C48</f>
        <v>2</v>
      </c>
      <c r="J48" s="93">
        <f>'2020'!F52+G48</f>
        <v>22</v>
      </c>
      <c r="K48" s="81">
        <f t="shared" si="5"/>
        <v>0.019349164467897976</v>
      </c>
    </row>
    <row r="49" spans="1:11" ht="12.75">
      <c r="A49" s="86" t="s">
        <v>150</v>
      </c>
      <c r="B49" s="79" t="s">
        <v>668</v>
      </c>
      <c r="C49" s="79"/>
      <c r="D49" s="79"/>
      <c r="E49" s="79"/>
      <c r="F49" s="79"/>
      <c r="G49" s="9">
        <f t="shared" si="3"/>
        <v>0</v>
      </c>
      <c r="H49" s="80">
        <f t="shared" si="4"/>
        <v>0</v>
      </c>
      <c r="I49" s="93">
        <f>'2017'!C43</f>
        <v>1</v>
      </c>
      <c r="J49" s="93">
        <f>'2017'!G43</f>
        <v>8</v>
      </c>
      <c r="K49" s="81">
        <f t="shared" si="5"/>
        <v>0.007036059806508356</v>
      </c>
    </row>
    <row r="50" spans="1:11" ht="12.75">
      <c r="A50" s="86" t="s">
        <v>829</v>
      </c>
      <c r="B50" s="79" t="s">
        <v>830</v>
      </c>
      <c r="C50" s="79">
        <v>2</v>
      </c>
      <c r="D50" s="79"/>
      <c r="E50" s="79">
        <v>7</v>
      </c>
      <c r="F50" s="79">
        <v>10</v>
      </c>
      <c r="G50" s="9">
        <f t="shared" si="3"/>
        <v>17</v>
      </c>
      <c r="H50" s="80">
        <f t="shared" si="4"/>
        <v>0.09941520467836257</v>
      </c>
      <c r="I50" s="93">
        <f>'2020'!C54+C50</f>
        <v>5</v>
      </c>
      <c r="J50" s="93">
        <f>'2020'!F54+G50</f>
        <v>39</v>
      </c>
      <c r="K50" s="81">
        <f t="shared" si="5"/>
        <v>0.03430079155672823</v>
      </c>
    </row>
    <row r="51" spans="1:11" ht="12.75">
      <c r="A51" s="86" t="s">
        <v>831</v>
      </c>
      <c r="B51" s="79" t="s">
        <v>832</v>
      </c>
      <c r="C51" s="79">
        <v>1</v>
      </c>
      <c r="D51" s="79"/>
      <c r="E51" s="79">
        <v>0</v>
      </c>
      <c r="F51" s="79">
        <v>7</v>
      </c>
      <c r="G51" s="9">
        <f t="shared" si="3"/>
        <v>7</v>
      </c>
      <c r="H51" s="80">
        <f t="shared" si="4"/>
        <v>0.04093567251461988</v>
      </c>
      <c r="I51" s="93">
        <f>'2020'!C55+C51</f>
        <v>3</v>
      </c>
      <c r="J51" s="93">
        <f>'2020'!F55+G51</f>
        <v>23</v>
      </c>
      <c r="K51" s="81">
        <f t="shared" si="5"/>
        <v>0.020228671943711522</v>
      </c>
    </row>
    <row r="52" spans="1:11" ht="12.75">
      <c r="A52" s="86" t="s">
        <v>805</v>
      </c>
      <c r="B52" s="79" t="s">
        <v>833</v>
      </c>
      <c r="C52" s="79"/>
      <c r="D52" s="79"/>
      <c r="E52" s="79"/>
      <c r="F52" s="79"/>
      <c r="G52" s="9">
        <f t="shared" si="3"/>
        <v>0</v>
      </c>
      <c r="H52" s="80">
        <f t="shared" si="4"/>
        <v>0</v>
      </c>
      <c r="I52" s="93">
        <f>'2019'!C52</f>
        <v>1</v>
      </c>
      <c r="J52" s="93">
        <f>'2019'!F52</f>
        <v>10</v>
      </c>
      <c r="K52" s="81">
        <f t="shared" si="5"/>
        <v>0.008795074758135445</v>
      </c>
    </row>
    <row r="53" spans="1:11" ht="12.75">
      <c r="A53" s="86" t="s">
        <v>834</v>
      </c>
      <c r="B53" s="79" t="s">
        <v>835</v>
      </c>
      <c r="C53" s="79">
        <v>1</v>
      </c>
      <c r="D53" s="79"/>
      <c r="E53" s="79">
        <v>5</v>
      </c>
      <c r="F53" s="79">
        <v>3</v>
      </c>
      <c r="G53" s="9">
        <f t="shared" si="3"/>
        <v>8</v>
      </c>
      <c r="H53" s="80">
        <f t="shared" si="4"/>
        <v>0.04678362573099415</v>
      </c>
      <c r="I53" s="93">
        <f>'2020'!C57+C53</f>
        <v>2</v>
      </c>
      <c r="J53" s="93">
        <f>'2020'!F57+G53</f>
        <v>17</v>
      </c>
      <c r="K53" s="81">
        <f t="shared" si="5"/>
        <v>0.014951627088830254</v>
      </c>
    </row>
    <row r="54" spans="1:11" ht="12.75">
      <c r="A54" s="86" t="s">
        <v>836</v>
      </c>
      <c r="B54" s="79" t="s">
        <v>859</v>
      </c>
      <c r="C54" s="79"/>
      <c r="D54" s="79"/>
      <c r="E54" s="79"/>
      <c r="F54" s="79"/>
      <c r="G54" s="9">
        <f t="shared" si="3"/>
        <v>0</v>
      </c>
      <c r="H54" s="80">
        <f t="shared" si="4"/>
        <v>0</v>
      </c>
      <c r="I54" s="93">
        <f>'2020'!C58</f>
        <v>1</v>
      </c>
      <c r="J54" s="93">
        <f>'2020'!F58</f>
        <v>10</v>
      </c>
      <c r="K54" s="81">
        <f t="shared" si="5"/>
        <v>0.008795074758135445</v>
      </c>
    </row>
    <row r="55" spans="1:11" ht="12.75">
      <c r="A55" s="79" t="s">
        <v>774</v>
      </c>
      <c r="B55" s="79" t="s">
        <v>775</v>
      </c>
      <c r="C55" s="79"/>
      <c r="D55" s="79"/>
      <c r="E55" s="79"/>
      <c r="F55" s="79"/>
      <c r="G55" s="9">
        <f t="shared" si="3"/>
        <v>0</v>
      </c>
      <c r="H55" s="80">
        <f t="shared" si="4"/>
        <v>0</v>
      </c>
      <c r="I55" s="93">
        <f>'2018'!C45+C55</f>
        <v>1</v>
      </c>
      <c r="J55" s="93">
        <f>'2018'!G45+G55</f>
        <v>6</v>
      </c>
      <c r="K55" s="81">
        <f t="shared" si="5"/>
        <v>0.005277044854881266</v>
      </c>
    </row>
    <row r="56" spans="1:11" ht="12.75">
      <c r="A56" s="79" t="s">
        <v>669</v>
      </c>
      <c r="B56" s="79" t="s">
        <v>838</v>
      </c>
      <c r="C56" s="79"/>
      <c r="D56" s="79"/>
      <c r="E56" s="79"/>
      <c r="F56" s="79"/>
      <c r="G56" s="9">
        <f t="shared" si="3"/>
        <v>0</v>
      </c>
      <c r="H56" s="80">
        <f t="shared" si="4"/>
        <v>0</v>
      </c>
      <c r="I56" s="93">
        <f>'2017'!C47</f>
        <v>1</v>
      </c>
      <c r="J56" s="93">
        <f>'2017'!G47</f>
        <v>7</v>
      </c>
      <c r="K56" s="81">
        <f t="shared" si="5"/>
        <v>0.006156552330694811</v>
      </c>
    </row>
    <row r="57" spans="1:11" ht="12.75">
      <c r="A57" s="79" t="s">
        <v>860</v>
      </c>
      <c r="B57" s="79" t="s">
        <v>861</v>
      </c>
      <c r="C57" s="79">
        <v>1</v>
      </c>
      <c r="D57" s="79"/>
      <c r="E57" s="79">
        <v>2</v>
      </c>
      <c r="F57" s="79">
        <v>5</v>
      </c>
      <c r="G57" s="9">
        <f t="shared" si="3"/>
        <v>7</v>
      </c>
      <c r="H57" s="80">
        <f t="shared" si="4"/>
        <v>0.04093567251461988</v>
      </c>
      <c r="I57" s="93">
        <f>C57</f>
        <v>1</v>
      </c>
      <c r="J57" s="93">
        <f>G57</f>
        <v>7</v>
      </c>
      <c r="K57" s="81">
        <f t="shared" si="5"/>
        <v>0.006156552330694811</v>
      </c>
    </row>
    <row r="58" spans="1:11" ht="12.75">
      <c r="A58" s="86" t="s">
        <v>740</v>
      </c>
      <c r="B58" s="79" t="s">
        <v>741</v>
      </c>
      <c r="C58" s="79"/>
      <c r="D58" s="79"/>
      <c r="E58" s="79"/>
      <c r="F58" s="79"/>
      <c r="G58" s="9">
        <f t="shared" si="3"/>
        <v>0</v>
      </c>
      <c r="H58" s="80">
        <f t="shared" si="4"/>
        <v>0</v>
      </c>
      <c r="I58" s="93">
        <f>'2018'!C49</f>
        <v>1</v>
      </c>
      <c r="J58" s="93">
        <f>'2018'!G49</f>
        <v>8</v>
      </c>
      <c r="K58" s="81">
        <f t="shared" si="5"/>
        <v>0.007036059806508356</v>
      </c>
    </row>
    <row r="59" spans="1:11" ht="12.75">
      <c r="A59" s="86" t="s">
        <v>685</v>
      </c>
      <c r="B59" s="79" t="s">
        <v>686</v>
      </c>
      <c r="C59" s="79"/>
      <c r="D59" s="79"/>
      <c r="E59" s="79"/>
      <c r="F59" s="79"/>
      <c r="G59" s="9">
        <f t="shared" si="3"/>
        <v>0</v>
      </c>
      <c r="H59" s="80">
        <f t="shared" si="4"/>
        <v>0</v>
      </c>
      <c r="I59" s="93">
        <f>'2017'!C51+'2018'!C50</f>
        <v>5</v>
      </c>
      <c r="J59" s="93">
        <f>'2017'!G51+'2018'!G50</f>
        <v>40</v>
      </c>
      <c r="K59" s="94">
        <f t="shared" si="5"/>
        <v>0.03518029903254178</v>
      </c>
    </row>
    <row r="60" spans="1:11" ht="12.75">
      <c r="A60" s="86" t="s">
        <v>742</v>
      </c>
      <c r="B60" s="79" t="s">
        <v>743</v>
      </c>
      <c r="C60" s="79">
        <v>2</v>
      </c>
      <c r="D60" s="79"/>
      <c r="E60" s="79">
        <v>11</v>
      </c>
      <c r="F60" s="79">
        <v>6</v>
      </c>
      <c r="G60" s="9">
        <f t="shared" si="3"/>
        <v>17</v>
      </c>
      <c r="H60" s="80">
        <f t="shared" si="4"/>
        <v>0.09941520467836257</v>
      </c>
      <c r="I60" s="93">
        <f>'2017'!C52+'2018'!C51+C60</f>
        <v>8</v>
      </c>
      <c r="J60" s="93">
        <f>'2017'!G52+'2018'!G51+G60</f>
        <v>63</v>
      </c>
      <c r="K60" s="94">
        <f t="shared" si="5"/>
        <v>0.055408970976253295</v>
      </c>
    </row>
    <row r="61" spans="1:11" ht="12.75">
      <c r="A61" s="79" t="s">
        <v>744</v>
      </c>
      <c r="B61" s="79" t="s">
        <v>745</v>
      </c>
      <c r="C61" s="79">
        <v>1</v>
      </c>
      <c r="D61" s="79"/>
      <c r="E61" s="79">
        <v>5</v>
      </c>
      <c r="F61" s="79">
        <v>2</v>
      </c>
      <c r="G61" s="9">
        <f t="shared" si="3"/>
        <v>7</v>
      </c>
      <c r="H61" s="80">
        <f t="shared" si="4"/>
        <v>0.04093567251461988</v>
      </c>
      <c r="I61" s="93">
        <f>'2017'!C53+'2018'!C52+C61+'2019'!C60+'2020'!C67</f>
        <v>8</v>
      </c>
      <c r="J61" s="93">
        <f>'2017'!G53+'2018'!G52+G61+'2019'!F60+'2020'!F67</f>
        <v>57</v>
      </c>
      <c r="K61" s="81">
        <f t="shared" si="5"/>
        <v>0.05013192612137203</v>
      </c>
    </row>
    <row r="62" spans="1:11" ht="12.75">
      <c r="A62" s="79" t="s">
        <v>760</v>
      </c>
      <c r="B62" s="79" t="s">
        <v>761</v>
      </c>
      <c r="C62" s="79"/>
      <c r="D62" s="79"/>
      <c r="E62" s="79"/>
      <c r="F62" s="79"/>
      <c r="G62" s="9">
        <f t="shared" si="3"/>
        <v>0</v>
      </c>
      <c r="H62" s="80">
        <f t="shared" si="4"/>
        <v>0</v>
      </c>
      <c r="I62" s="93">
        <f>'2017'!C54+C62</f>
        <v>1</v>
      </c>
      <c r="J62" s="93">
        <f>'2017'!G54+G62</f>
        <v>9</v>
      </c>
      <c r="K62" s="81">
        <f t="shared" si="5"/>
        <v>0.0079155672823219</v>
      </c>
    </row>
    <row r="63" spans="1:11" ht="12.75">
      <c r="A63" s="79" t="s">
        <v>862</v>
      </c>
      <c r="B63" s="79" t="s">
        <v>863</v>
      </c>
      <c r="C63" s="79"/>
      <c r="D63" s="79"/>
      <c r="E63" s="79"/>
      <c r="F63" s="79"/>
      <c r="G63" s="9">
        <f t="shared" si="3"/>
        <v>0</v>
      </c>
      <c r="H63" s="80">
        <f t="shared" si="4"/>
        <v>0</v>
      </c>
      <c r="I63" s="93">
        <f>'2020'!C70</f>
        <v>1</v>
      </c>
      <c r="J63" s="93">
        <f>'2020'!F70</f>
        <v>8</v>
      </c>
      <c r="K63" s="81">
        <f t="shared" si="5"/>
        <v>0.007036059806508356</v>
      </c>
    </row>
    <row r="64" spans="1:11" ht="12.75">
      <c r="A64" s="79" t="s">
        <v>777</v>
      </c>
      <c r="B64" s="79" t="s">
        <v>778</v>
      </c>
      <c r="C64" s="79"/>
      <c r="D64" s="79"/>
      <c r="E64" s="79"/>
      <c r="F64" s="79"/>
      <c r="G64" s="9">
        <f t="shared" si="3"/>
        <v>0</v>
      </c>
      <c r="H64" s="80">
        <f t="shared" si="4"/>
        <v>0</v>
      </c>
      <c r="I64" s="93">
        <f>'2018'!C54+C64+'2020'!C71</f>
        <v>4</v>
      </c>
      <c r="J64" s="93">
        <f>'2018'!G54+G64+'2020'!F71</f>
        <v>30</v>
      </c>
      <c r="K64" s="81">
        <f t="shared" si="5"/>
        <v>0.026385224274406333</v>
      </c>
    </row>
    <row r="65" spans="1:11" ht="12.75">
      <c r="A65" s="79" t="s">
        <v>762</v>
      </c>
      <c r="B65" s="79"/>
      <c r="C65" s="88"/>
      <c r="D65" s="79"/>
      <c r="E65" s="88"/>
      <c r="F65" s="88"/>
      <c r="G65" s="9"/>
      <c r="H65" s="80"/>
      <c r="I65" s="95"/>
      <c r="J65" s="93"/>
      <c r="K65" s="81"/>
    </row>
    <row r="66" spans="1:11" ht="12.75">
      <c r="A66" s="79"/>
      <c r="B66" s="79"/>
      <c r="C66" s="79"/>
      <c r="D66" s="79"/>
      <c r="E66" s="79"/>
      <c r="F66" s="79"/>
      <c r="H66" s="80"/>
      <c r="I66" s="95"/>
      <c r="J66" s="95"/>
      <c r="K66" s="81"/>
    </row>
    <row r="67" spans="1:11" ht="12.75">
      <c r="A67" s="79"/>
      <c r="B67" s="79"/>
      <c r="C67" s="79"/>
      <c r="D67" s="79"/>
      <c r="E67" s="79"/>
      <c r="F67" s="79"/>
      <c r="H67" s="80"/>
      <c r="J67" s="95"/>
      <c r="K67" s="81"/>
    </row>
    <row r="68" spans="1:11" ht="12.75">
      <c r="A68" s="79" t="s">
        <v>746</v>
      </c>
      <c r="B68" s="79" t="s">
        <v>747</v>
      </c>
      <c r="C68" s="79"/>
      <c r="D68" s="79"/>
      <c r="E68" s="79"/>
      <c r="F68" s="79"/>
      <c r="G68" s="9">
        <f aca="true" t="shared" si="6" ref="G68:G76">SUM(E68+F68)</f>
        <v>0</v>
      </c>
      <c r="H68" s="80">
        <f aca="true" t="shared" si="7" ref="H68:H76">G68/$G$84</f>
        <v>0</v>
      </c>
      <c r="I68" s="93">
        <f>'2017'!C60+C68</f>
        <v>1</v>
      </c>
      <c r="J68" s="93">
        <f>'2017'!G60+G68</f>
        <v>8</v>
      </c>
      <c r="K68" s="81">
        <f aca="true" t="shared" si="8" ref="K68:K76">J68/$J$84</f>
        <v>0.007036059806508356</v>
      </c>
    </row>
    <row r="69" spans="1:11" ht="12.75">
      <c r="A69" s="79" t="s">
        <v>750</v>
      </c>
      <c r="B69" s="79" t="s">
        <v>751</v>
      </c>
      <c r="C69" s="79"/>
      <c r="D69" s="79"/>
      <c r="E69" s="79"/>
      <c r="F69" s="79"/>
      <c r="G69" s="9">
        <f t="shared" si="6"/>
        <v>0</v>
      </c>
      <c r="H69" s="80">
        <f t="shared" si="7"/>
        <v>0</v>
      </c>
      <c r="I69" s="93">
        <f>C69+'2017'!C64</f>
        <v>1</v>
      </c>
      <c r="J69" s="93">
        <f>G69+'2017'!G64</f>
        <v>7</v>
      </c>
      <c r="K69" s="81">
        <f t="shared" si="8"/>
        <v>0.006156552330694811</v>
      </c>
    </row>
    <row r="70" spans="1:11" ht="12.75">
      <c r="A70" s="79" t="s">
        <v>26</v>
      </c>
      <c r="B70" s="79" t="s">
        <v>845</v>
      </c>
      <c r="C70" s="79"/>
      <c r="D70" s="79"/>
      <c r="E70" s="79"/>
      <c r="F70" s="79"/>
      <c r="G70" s="9">
        <f t="shared" si="6"/>
        <v>0</v>
      </c>
      <c r="H70" s="80">
        <f t="shared" si="7"/>
        <v>0</v>
      </c>
      <c r="I70" s="93">
        <f>'2020'!C79</f>
        <v>1</v>
      </c>
      <c r="J70" s="93">
        <f>'2020'!F79</f>
        <v>3</v>
      </c>
      <c r="K70" s="81">
        <f t="shared" si="8"/>
        <v>0.002638522427440633</v>
      </c>
    </row>
    <row r="71" spans="1:11" ht="12.75">
      <c r="A71" s="79" t="s">
        <v>779</v>
      </c>
      <c r="B71" s="79" t="s">
        <v>780</v>
      </c>
      <c r="C71" s="79"/>
      <c r="D71" s="79"/>
      <c r="E71" s="79"/>
      <c r="F71" s="79"/>
      <c r="G71" s="9">
        <f t="shared" si="6"/>
        <v>0</v>
      </c>
      <c r="H71" s="80">
        <f t="shared" si="7"/>
        <v>0</v>
      </c>
      <c r="I71" s="93">
        <f>'2018'!C63+C71+'2020'!C80</f>
        <v>3</v>
      </c>
      <c r="J71" s="93">
        <f>'2018'!G63+G71+'2020'!F80</f>
        <v>18</v>
      </c>
      <c r="K71" s="81">
        <f t="shared" si="8"/>
        <v>0.0158311345646438</v>
      </c>
    </row>
    <row r="72" spans="1:11" ht="12.75">
      <c r="A72" s="79" t="s">
        <v>864</v>
      </c>
      <c r="B72" s="79" t="s">
        <v>865</v>
      </c>
      <c r="C72" s="79">
        <v>1</v>
      </c>
      <c r="D72" s="79"/>
      <c r="E72" s="79">
        <v>2</v>
      </c>
      <c r="F72" s="79">
        <v>5</v>
      </c>
      <c r="G72" s="9">
        <f t="shared" si="6"/>
        <v>7</v>
      </c>
      <c r="H72" s="80">
        <f t="shared" si="7"/>
        <v>0.04093567251461988</v>
      </c>
      <c r="I72" s="93">
        <f>C72</f>
        <v>1</v>
      </c>
      <c r="J72" s="93">
        <f>G72</f>
        <v>7</v>
      </c>
      <c r="K72" s="81">
        <f t="shared" si="8"/>
        <v>0.006156552330694811</v>
      </c>
    </row>
    <row r="73" spans="1:11" ht="12.75">
      <c r="A73" s="79" t="s">
        <v>846</v>
      </c>
      <c r="B73" s="79" t="s">
        <v>847</v>
      </c>
      <c r="C73" s="79"/>
      <c r="D73" s="79"/>
      <c r="E73" s="79"/>
      <c r="F73" s="79"/>
      <c r="G73" s="9">
        <f t="shared" si="6"/>
        <v>0</v>
      </c>
      <c r="H73" s="80">
        <f t="shared" si="7"/>
        <v>0</v>
      </c>
      <c r="I73" s="93">
        <f>'2020'!C82</f>
        <v>1</v>
      </c>
      <c r="J73" s="93">
        <f>'2020'!F82</f>
        <v>5</v>
      </c>
      <c r="K73" s="81">
        <f t="shared" si="8"/>
        <v>0.0043975373790677225</v>
      </c>
    </row>
    <row r="74" spans="1:11" ht="12.75">
      <c r="A74" s="79" t="s">
        <v>781</v>
      </c>
      <c r="B74" s="79" t="s">
        <v>782</v>
      </c>
      <c r="C74" s="79"/>
      <c r="D74" s="79"/>
      <c r="E74" s="79"/>
      <c r="F74" s="79"/>
      <c r="G74" s="9">
        <f t="shared" si="6"/>
        <v>0</v>
      </c>
      <c r="H74" s="80">
        <f t="shared" si="7"/>
        <v>0</v>
      </c>
      <c r="I74" s="93">
        <f>'2018'!C69+C74</f>
        <v>1</v>
      </c>
      <c r="J74" s="93">
        <f>'2018'!G69+G74</f>
        <v>7</v>
      </c>
      <c r="K74" s="81">
        <f t="shared" si="8"/>
        <v>0.006156552330694811</v>
      </c>
    </row>
    <row r="75" spans="1:11" ht="12.75">
      <c r="A75" s="79" t="s">
        <v>807</v>
      </c>
      <c r="B75" s="79" t="s">
        <v>808</v>
      </c>
      <c r="C75" s="79">
        <v>1</v>
      </c>
      <c r="D75" s="79"/>
      <c r="E75" s="79">
        <v>2</v>
      </c>
      <c r="F75" s="79">
        <v>2</v>
      </c>
      <c r="G75" s="9">
        <f t="shared" si="6"/>
        <v>4</v>
      </c>
      <c r="H75" s="80">
        <f t="shared" si="7"/>
        <v>0.023391812865497075</v>
      </c>
      <c r="I75" s="93">
        <f>'2019'!C73+C75</f>
        <v>2</v>
      </c>
      <c r="J75" s="93">
        <f>'2019'!F73+G75</f>
        <v>9</v>
      </c>
      <c r="K75" s="81">
        <f t="shared" si="8"/>
        <v>0.0079155672823219</v>
      </c>
    </row>
    <row r="76" spans="1:11" ht="12.75">
      <c r="A76" s="79" t="s">
        <v>763</v>
      </c>
      <c r="B76" s="79" t="s">
        <v>764</v>
      </c>
      <c r="C76" s="79"/>
      <c r="D76" s="79"/>
      <c r="E76" s="79"/>
      <c r="F76" s="79"/>
      <c r="G76" s="9">
        <f t="shared" si="6"/>
        <v>0</v>
      </c>
      <c r="H76" s="80">
        <f t="shared" si="7"/>
        <v>0</v>
      </c>
      <c r="I76" s="93">
        <f>'2017'!C74+'2018'!C72+C76</f>
        <v>3</v>
      </c>
      <c r="J76" s="93">
        <f>'2017'!G74+'2018'!G72+G76</f>
        <v>17</v>
      </c>
      <c r="K76" s="81">
        <f t="shared" si="8"/>
        <v>0.014951627088830254</v>
      </c>
    </row>
    <row r="77" spans="1:11" ht="12.75">
      <c r="A77" s="79"/>
      <c r="B77" s="79"/>
      <c r="C77" s="79"/>
      <c r="D77" s="79"/>
      <c r="E77" s="79"/>
      <c r="F77" s="79"/>
      <c r="G77" s="9"/>
      <c r="H77" s="80"/>
      <c r="I77" s="93"/>
      <c r="J77" s="93"/>
      <c r="K77" s="81"/>
    </row>
    <row r="78" spans="1:11" ht="12.75">
      <c r="A78" s="79"/>
      <c r="B78" s="79"/>
      <c r="C78" s="88"/>
      <c r="D78" s="79"/>
      <c r="E78" s="88"/>
      <c r="F78" s="88"/>
      <c r="G78" s="9"/>
      <c r="H78" s="80"/>
      <c r="I78" s="95"/>
      <c r="J78" s="93"/>
      <c r="K78" s="81"/>
    </row>
    <row r="79" spans="1:11" ht="12.75">
      <c r="A79" s="79"/>
      <c r="B79" s="79"/>
      <c r="C79" s="79"/>
      <c r="D79" s="79"/>
      <c r="E79" s="88"/>
      <c r="F79" s="88"/>
      <c r="G79" s="9"/>
      <c r="H79" s="80"/>
      <c r="J79" s="93"/>
      <c r="K79" s="81"/>
    </row>
    <row r="80" spans="1:11" ht="12.75">
      <c r="A80" s="79" t="s">
        <v>531</v>
      </c>
      <c r="B80" s="79"/>
      <c r="C80" s="88"/>
      <c r="D80" s="79"/>
      <c r="E80" s="88">
        <f>SUM(E3:E76)</f>
        <v>90</v>
      </c>
      <c r="F80" s="88">
        <f>SUM(F3:F76)</f>
        <v>80</v>
      </c>
      <c r="G80" s="88">
        <f>SUM(G3:G76)</f>
        <v>170</v>
      </c>
      <c r="H80" s="80">
        <f>G80/$G$84</f>
        <v>0.9941520467836257</v>
      </c>
      <c r="I80" s="88"/>
      <c r="J80" s="88">
        <f>SUM(J3:J76)</f>
        <v>1132</v>
      </c>
      <c r="K80" s="81">
        <f>J80/$J$84</f>
        <v>0.9956024626209323</v>
      </c>
    </row>
    <row r="81" spans="1:11" ht="12.75">
      <c r="A81" s="79"/>
      <c r="B81" s="79"/>
      <c r="C81" s="79"/>
      <c r="D81" s="79"/>
      <c r="E81" s="79"/>
      <c r="F81" s="79"/>
      <c r="G81" s="9"/>
      <c r="H81" s="80"/>
      <c r="I81" s="88"/>
      <c r="J81" s="95"/>
      <c r="K81" s="81"/>
    </row>
    <row r="82" spans="1:11" ht="12.75">
      <c r="A82" s="79" t="s">
        <v>462</v>
      </c>
      <c r="B82" s="79"/>
      <c r="C82" s="79">
        <v>1</v>
      </c>
      <c r="D82" s="79"/>
      <c r="E82" s="79">
        <v>1</v>
      </c>
      <c r="F82" s="89"/>
      <c r="G82" s="9">
        <v>1</v>
      </c>
      <c r="H82" s="80">
        <f>G82/$G$84</f>
        <v>0.005847953216374269</v>
      </c>
      <c r="I82" s="88"/>
      <c r="J82" s="93">
        <f>'2014'!G80+G82</f>
        <v>5</v>
      </c>
      <c r="K82" s="81">
        <f>J82/$J$84</f>
        <v>0.0043975373790677225</v>
      </c>
    </row>
    <row r="83" spans="1:11" ht="12.75">
      <c r="A83" s="79"/>
      <c r="B83" s="79"/>
      <c r="C83" s="79"/>
      <c r="D83" s="79"/>
      <c r="E83" s="79"/>
      <c r="F83" s="79"/>
      <c r="H83" s="80"/>
      <c r="I83" s="88">
        <f>SUM(I3:I74)</f>
        <v>151</v>
      </c>
      <c r="J83" s="93"/>
      <c r="K83" s="81"/>
    </row>
    <row r="84" spans="1:10" ht="12.75">
      <c r="A84" s="79" t="s">
        <v>533</v>
      </c>
      <c r="B84" s="79"/>
      <c r="C84" s="91">
        <f>SUM(C3:C82)</f>
        <v>25</v>
      </c>
      <c r="D84" s="79"/>
      <c r="E84" s="79">
        <f>E80+E82</f>
        <v>91</v>
      </c>
      <c r="F84" s="88">
        <f>SUM(F3:F76)</f>
        <v>80</v>
      </c>
      <c r="G84" s="9">
        <f>SUM(G80+G82)</f>
        <v>171</v>
      </c>
      <c r="H84" s="80">
        <f>G84/$G$84</f>
        <v>1</v>
      </c>
      <c r="J84" s="93">
        <f>J80+J82</f>
        <v>1137</v>
      </c>
    </row>
    <row r="85" spans="1:11" ht="12.75">
      <c r="A85" s="79"/>
      <c r="B85" s="79"/>
      <c r="C85" s="79"/>
      <c r="D85" s="79"/>
      <c r="E85" s="79"/>
      <c r="F85" s="79"/>
      <c r="K85" s="88"/>
    </row>
    <row r="86" spans="1:11" ht="12.75">
      <c r="A86" s="79"/>
      <c r="B86" s="79"/>
      <c r="C86" s="79"/>
      <c r="D86" s="79"/>
      <c r="E86" s="79"/>
      <c r="F86" s="79"/>
      <c r="I86" s="88"/>
      <c r="K86" s="88"/>
    </row>
    <row r="87" spans="1:11" ht="12.75">
      <c r="A87" s="88" t="s">
        <v>6</v>
      </c>
      <c r="B87" s="79"/>
      <c r="C87" s="88"/>
      <c r="D87" s="88"/>
      <c r="E87" s="88"/>
      <c r="F87" s="88"/>
      <c r="G87" s="88"/>
      <c r="H87" s="88"/>
      <c r="I87" s="88"/>
      <c r="J87" s="88"/>
      <c r="K87" s="88"/>
    </row>
    <row r="88" spans="1:11" ht="12.75">
      <c r="A88" s="88" t="s">
        <v>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1:11" ht="12.75">
      <c r="A89" s="88" t="s">
        <v>563</v>
      </c>
      <c r="B89" s="90" t="e">
        <f>4*(B87*B88)/(B87+B88)</f>
        <v>#DIV/0!</v>
      </c>
      <c r="H89" s="88"/>
      <c r="I89" s="88"/>
      <c r="J89" s="88"/>
      <c r="K89" s="88"/>
    </row>
    <row r="90" spans="1:11" ht="12.75">
      <c r="A90" s="88"/>
      <c r="B90" s="88"/>
      <c r="D90" s="88"/>
      <c r="E90" s="88"/>
      <c r="F90" s="88"/>
      <c r="G90" s="88"/>
      <c r="H90" s="88"/>
      <c r="I90" s="88"/>
      <c r="J90" s="88"/>
      <c r="K90" s="88"/>
    </row>
    <row r="91" spans="1:11" ht="12.75">
      <c r="A91" s="88" t="s">
        <v>564</v>
      </c>
      <c r="B91" s="90" t="e">
        <f>(B89/B88)*50</f>
        <v>#DIV/0!</v>
      </c>
      <c r="D91" s="88"/>
      <c r="E91" s="88"/>
      <c r="F91" s="88"/>
      <c r="G91" s="88"/>
      <c r="H91" s="88"/>
      <c r="I91" s="88"/>
      <c r="J91" s="88"/>
      <c r="K91" s="88"/>
    </row>
    <row r="92" spans="1:10" ht="12.75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1:11" ht="12.75">
      <c r="A94" s="88" t="s">
        <v>534</v>
      </c>
      <c r="K94" s="88"/>
    </row>
    <row r="95" spans="1:1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1:11" ht="12.75">
      <c r="A96" s="88" t="s">
        <v>6</v>
      </c>
      <c r="B96" s="88">
        <f>'2013'!B91+'2014'!B84+'2015'!B87+'2016'!B91+B87</f>
        <v>114</v>
      </c>
      <c r="C96" s="88"/>
      <c r="D96" s="88"/>
      <c r="E96" s="88"/>
      <c r="F96" s="88"/>
      <c r="G96" s="88"/>
      <c r="H96" s="88"/>
      <c r="I96" s="88"/>
      <c r="J96" s="88"/>
      <c r="K96" s="88"/>
    </row>
    <row r="97" spans="1:11" ht="12.75">
      <c r="A97" s="88" t="s">
        <v>7</v>
      </c>
      <c r="B97" s="88">
        <f>'2013'!B92+'2014'!B85+B88+'2015'!B88+'2016'!B92+B88</f>
        <v>154</v>
      </c>
      <c r="C97" s="88"/>
      <c r="D97" s="88"/>
      <c r="E97" s="88"/>
      <c r="F97" s="88"/>
      <c r="G97" s="88"/>
      <c r="H97" s="88"/>
      <c r="I97" s="88"/>
      <c r="J97" s="88"/>
      <c r="K97" s="88"/>
    </row>
    <row r="98" spans="1:11" ht="12.75">
      <c r="A98" s="88" t="s">
        <v>563</v>
      </c>
      <c r="B98" s="90">
        <f>4*(B96*B97)/(B96+B97)</f>
        <v>262.02985074626866</v>
      </c>
      <c r="C98" s="88"/>
      <c r="D98" s="88"/>
      <c r="E98" s="88"/>
      <c r="F98" s="88"/>
      <c r="G98" s="88"/>
      <c r="H98" s="88"/>
      <c r="I98" s="88"/>
      <c r="J98" s="88"/>
      <c r="K98" s="88"/>
    </row>
    <row r="99" spans="1:10" ht="12.75">
      <c r="A99" s="88"/>
      <c r="B99" s="88"/>
      <c r="C99" s="88"/>
      <c r="D99" s="88"/>
      <c r="E99" s="88"/>
      <c r="F99" s="88"/>
      <c r="G99" s="88"/>
      <c r="H99" s="88"/>
      <c r="I99" s="88"/>
      <c r="J99" s="88"/>
    </row>
    <row r="100" spans="1:10" ht="12.75">
      <c r="A100" s="88" t="s">
        <v>564</v>
      </c>
      <c r="B100" s="90">
        <f>(B98/B97)*50</f>
        <v>85.07462686567165</v>
      </c>
      <c r="C100" s="88"/>
      <c r="D100" s="88"/>
      <c r="E100" s="88"/>
      <c r="F100" s="88"/>
      <c r="G100" s="88"/>
      <c r="H100" s="88"/>
      <c r="J100" s="88"/>
    </row>
  </sheetData>
  <sheetProtection selectLockedCells="1" selectUnlockedCells="1"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2">
      <selection activeCell="B22" sqref="B22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851562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78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13</v>
      </c>
    </row>
    <row r="3" spans="1:11" ht="12.75">
      <c r="A3" s="6" t="s">
        <v>55</v>
      </c>
      <c r="B3" s="6" t="s">
        <v>56</v>
      </c>
      <c r="C3" s="6">
        <v>3</v>
      </c>
      <c r="D3" s="6"/>
      <c r="E3" s="6">
        <v>8</v>
      </c>
      <c r="F3" s="6">
        <v>7</v>
      </c>
      <c r="G3" s="6">
        <v>15</v>
      </c>
      <c r="H3" s="6">
        <v>9.14</v>
      </c>
      <c r="I3" s="6">
        <v>10</v>
      </c>
      <c r="J3" s="6">
        <v>50</v>
      </c>
      <c r="K3" s="7">
        <v>5.23</v>
      </c>
    </row>
    <row r="4" spans="1:11" ht="12.75">
      <c r="A4" t="s">
        <v>74</v>
      </c>
      <c r="B4" t="s">
        <v>75</v>
      </c>
      <c r="C4">
        <v>2</v>
      </c>
      <c r="E4">
        <v>10</v>
      </c>
      <c r="F4">
        <v>5</v>
      </c>
      <c r="G4">
        <v>15</v>
      </c>
      <c r="H4">
        <v>9.14</v>
      </c>
      <c r="I4">
        <v>3</v>
      </c>
      <c r="J4">
        <v>20</v>
      </c>
      <c r="K4">
        <v>2.09</v>
      </c>
    </row>
    <row r="5" spans="1:11" ht="12.75">
      <c r="A5" t="s">
        <v>79</v>
      </c>
      <c r="C5">
        <v>2</v>
      </c>
      <c r="E5">
        <v>10</v>
      </c>
      <c r="F5">
        <v>3</v>
      </c>
      <c r="G5">
        <v>13</v>
      </c>
      <c r="H5">
        <v>7.92</v>
      </c>
      <c r="I5">
        <v>2</v>
      </c>
      <c r="J5">
        <v>13</v>
      </c>
      <c r="K5">
        <v>1.35</v>
      </c>
    </row>
    <row r="6" spans="1:11" ht="12.75">
      <c r="A6" t="s">
        <v>80</v>
      </c>
      <c r="B6" t="s">
        <v>81</v>
      </c>
      <c r="C6">
        <v>2</v>
      </c>
      <c r="E6">
        <v>7</v>
      </c>
      <c r="F6">
        <v>5</v>
      </c>
      <c r="G6">
        <v>12</v>
      </c>
      <c r="H6">
        <v>7.31</v>
      </c>
      <c r="I6">
        <v>2</v>
      </c>
      <c r="J6">
        <v>12</v>
      </c>
      <c r="K6">
        <v>1.25</v>
      </c>
    </row>
    <row r="7" spans="1:11" ht="12.75">
      <c r="A7" t="s">
        <v>82</v>
      </c>
      <c r="B7" t="s">
        <v>54</v>
      </c>
      <c r="C7">
        <v>1</v>
      </c>
      <c r="E7">
        <v>3</v>
      </c>
      <c r="F7">
        <v>4</v>
      </c>
      <c r="G7">
        <v>7</v>
      </c>
      <c r="H7">
        <v>4.26</v>
      </c>
      <c r="I7">
        <v>9</v>
      </c>
      <c r="J7">
        <v>68</v>
      </c>
      <c r="K7" s="7">
        <v>7.11</v>
      </c>
    </row>
    <row r="8" spans="1:11" ht="12.75">
      <c r="A8" t="s">
        <v>83</v>
      </c>
      <c r="B8" t="s">
        <v>84</v>
      </c>
      <c r="C8">
        <v>1</v>
      </c>
      <c r="E8">
        <v>6</v>
      </c>
      <c r="F8">
        <v>3</v>
      </c>
      <c r="G8">
        <v>9</v>
      </c>
      <c r="H8">
        <v>5.48</v>
      </c>
      <c r="I8">
        <v>1</v>
      </c>
      <c r="J8">
        <v>9</v>
      </c>
      <c r="K8">
        <v>0.94</v>
      </c>
    </row>
    <row r="9" spans="1:11" ht="12.75">
      <c r="A9" t="s">
        <v>22</v>
      </c>
      <c r="B9" t="s">
        <v>23</v>
      </c>
      <c r="C9">
        <v>1</v>
      </c>
      <c r="E9">
        <v>5</v>
      </c>
      <c r="F9">
        <v>4</v>
      </c>
      <c r="G9">
        <v>9</v>
      </c>
      <c r="H9">
        <v>5.48</v>
      </c>
      <c r="I9">
        <v>13</v>
      </c>
      <c r="J9">
        <v>101</v>
      </c>
      <c r="K9" s="7">
        <v>7.11</v>
      </c>
    </row>
    <row r="10" spans="1:11" ht="12.75">
      <c r="A10" t="s">
        <v>66</v>
      </c>
      <c r="B10" t="s">
        <v>67</v>
      </c>
      <c r="C10">
        <v>1</v>
      </c>
      <c r="E10">
        <v>8</v>
      </c>
      <c r="F10">
        <v>0</v>
      </c>
      <c r="G10">
        <v>8</v>
      </c>
      <c r="H10">
        <v>4.87</v>
      </c>
      <c r="I10">
        <v>5</v>
      </c>
      <c r="J10">
        <v>32</v>
      </c>
      <c r="K10">
        <v>3.34</v>
      </c>
    </row>
    <row r="11" spans="1:11" ht="12.75">
      <c r="A11" t="s">
        <v>85</v>
      </c>
      <c r="B11" t="s">
        <v>86</v>
      </c>
      <c r="C11">
        <v>1</v>
      </c>
      <c r="E11">
        <v>7</v>
      </c>
      <c r="F11">
        <v>1</v>
      </c>
      <c r="G11">
        <v>8</v>
      </c>
      <c r="H11">
        <v>4.87</v>
      </c>
      <c r="I11">
        <v>1</v>
      </c>
      <c r="J11">
        <v>8</v>
      </c>
      <c r="K11">
        <v>0.83</v>
      </c>
    </row>
    <row r="12" spans="1:11" ht="12.75">
      <c r="A12" t="s">
        <v>62</v>
      </c>
      <c r="B12" t="s">
        <v>87</v>
      </c>
      <c r="C12">
        <v>1</v>
      </c>
      <c r="E12">
        <v>3</v>
      </c>
      <c r="F12">
        <v>5</v>
      </c>
      <c r="G12">
        <v>8</v>
      </c>
      <c r="H12">
        <v>4.87</v>
      </c>
      <c r="I12">
        <v>1</v>
      </c>
      <c r="J12">
        <v>8</v>
      </c>
      <c r="K12">
        <v>0.83</v>
      </c>
    </row>
    <row r="13" spans="1:11" ht="12.75">
      <c r="A13" t="s">
        <v>88</v>
      </c>
      <c r="B13" t="s">
        <v>89</v>
      </c>
      <c r="C13">
        <v>1</v>
      </c>
      <c r="E13">
        <v>5</v>
      </c>
      <c r="F13">
        <v>3</v>
      </c>
      <c r="G13">
        <v>8</v>
      </c>
      <c r="H13">
        <v>4.87</v>
      </c>
      <c r="I13">
        <v>1</v>
      </c>
      <c r="J13">
        <v>8</v>
      </c>
      <c r="K13">
        <v>0.83</v>
      </c>
    </row>
    <row r="14" spans="1:11" ht="12.75">
      <c r="A14" t="s">
        <v>16</v>
      </c>
      <c r="B14" t="s">
        <v>17</v>
      </c>
      <c r="C14">
        <v>1</v>
      </c>
      <c r="E14">
        <v>4</v>
      </c>
      <c r="F14">
        <v>4</v>
      </c>
      <c r="G14">
        <v>8</v>
      </c>
      <c r="H14">
        <v>4.87</v>
      </c>
      <c r="I14">
        <v>7</v>
      </c>
      <c r="J14">
        <v>56</v>
      </c>
      <c r="K14" s="7">
        <v>5.85</v>
      </c>
    </row>
    <row r="15" spans="1:11" ht="12.75">
      <c r="A15" t="s">
        <v>31</v>
      </c>
      <c r="B15" t="s">
        <v>32</v>
      </c>
      <c r="C15">
        <v>1</v>
      </c>
      <c r="E15">
        <v>4</v>
      </c>
      <c r="F15">
        <v>3</v>
      </c>
      <c r="G15">
        <v>7</v>
      </c>
      <c r="H15">
        <v>4.26</v>
      </c>
      <c r="I15">
        <v>4</v>
      </c>
      <c r="J15">
        <v>21</v>
      </c>
      <c r="K15">
        <v>2.19</v>
      </c>
    </row>
    <row r="16" spans="1:11" ht="12.75">
      <c r="A16" t="s">
        <v>20</v>
      </c>
      <c r="B16" t="s">
        <v>21</v>
      </c>
      <c r="C16">
        <v>1</v>
      </c>
      <c r="E16">
        <v>2</v>
      </c>
      <c r="F16">
        <v>5</v>
      </c>
      <c r="G16">
        <v>7</v>
      </c>
      <c r="H16">
        <v>4.26</v>
      </c>
      <c r="I16">
        <v>8</v>
      </c>
      <c r="J16">
        <v>49</v>
      </c>
      <c r="K16">
        <v>3.45</v>
      </c>
    </row>
    <row r="17" spans="1:11" ht="12.75">
      <c r="A17" t="s">
        <v>18</v>
      </c>
      <c r="B17" t="s">
        <v>69</v>
      </c>
      <c r="C17">
        <v>1</v>
      </c>
      <c r="E17">
        <v>4</v>
      </c>
      <c r="F17">
        <v>3</v>
      </c>
      <c r="G17">
        <v>7</v>
      </c>
      <c r="H17">
        <v>4.26</v>
      </c>
      <c r="I17">
        <v>15</v>
      </c>
      <c r="J17">
        <v>87</v>
      </c>
      <c r="K17" s="7">
        <v>6.9</v>
      </c>
    </row>
    <row r="18" spans="1:11" ht="12.75">
      <c r="A18" t="s">
        <v>76</v>
      </c>
      <c r="B18" t="s">
        <v>77</v>
      </c>
      <c r="C18">
        <v>1</v>
      </c>
      <c r="E18">
        <v>7</v>
      </c>
      <c r="F18">
        <v>4</v>
      </c>
      <c r="G18">
        <v>11</v>
      </c>
      <c r="H18">
        <v>6.7</v>
      </c>
      <c r="I18">
        <v>2</v>
      </c>
      <c r="J18">
        <v>14</v>
      </c>
      <c r="K18">
        <v>1.46</v>
      </c>
    </row>
    <row r="19" spans="1:11" ht="12.75">
      <c r="A19" t="s">
        <v>62</v>
      </c>
      <c r="B19" t="s">
        <v>63</v>
      </c>
      <c r="C19">
        <v>1</v>
      </c>
      <c r="E19">
        <v>2</v>
      </c>
      <c r="F19">
        <v>4</v>
      </c>
      <c r="G19">
        <v>6</v>
      </c>
      <c r="H19">
        <v>3.65</v>
      </c>
      <c r="I19">
        <v>2</v>
      </c>
      <c r="J19">
        <v>10</v>
      </c>
      <c r="K19">
        <v>1.04</v>
      </c>
    </row>
    <row r="20" spans="1:11" ht="12.75">
      <c r="A20" t="s">
        <v>14</v>
      </c>
      <c r="B20" t="s">
        <v>15</v>
      </c>
      <c r="C20">
        <v>1</v>
      </c>
      <c r="E20">
        <v>2</v>
      </c>
      <c r="F20">
        <v>4</v>
      </c>
      <c r="G20">
        <v>6</v>
      </c>
      <c r="H20">
        <v>3.65</v>
      </c>
      <c r="I20">
        <v>15</v>
      </c>
      <c r="J20">
        <v>115</v>
      </c>
      <c r="K20">
        <v>12.02</v>
      </c>
    </row>
    <row r="21" spans="1:7" ht="12.75">
      <c r="A21" s="2" t="s">
        <v>8</v>
      </c>
      <c r="C21" s="2">
        <v>23</v>
      </c>
      <c r="D21" s="2"/>
      <c r="E21" s="2">
        <v>97</v>
      </c>
      <c r="F21" s="2">
        <v>67</v>
      </c>
      <c r="G21" s="2">
        <v>164</v>
      </c>
    </row>
    <row r="22" spans="1:2" ht="12.75">
      <c r="A22" s="2" t="s">
        <v>51</v>
      </c>
      <c r="B22" s="8">
        <v>40.39</v>
      </c>
    </row>
    <row r="25" ht="12.75">
      <c r="A25" s="2"/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B25" sqref="B25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8.14062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90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13</v>
      </c>
    </row>
    <row r="3" spans="1:12" ht="12.75">
      <c r="A3" s="6" t="s">
        <v>74</v>
      </c>
      <c r="B3" s="6" t="s">
        <v>75</v>
      </c>
      <c r="C3" s="6">
        <v>5</v>
      </c>
      <c r="D3" s="6"/>
      <c r="E3" s="6">
        <v>17</v>
      </c>
      <c r="F3" s="6">
        <v>12</v>
      </c>
      <c r="G3" s="6">
        <v>29</v>
      </c>
      <c r="H3" s="6">
        <v>13.24</v>
      </c>
      <c r="I3" s="6">
        <v>8</v>
      </c>
      <c r="J3" s="6">
        <v>49</v>
      </c>
      <c r="K3" s="6">
        <v>4.88</v>
      </c>
      <c r="L3" s="6"/>
    </row>
    <row r="4" spans="1:11" ht="12.75">
      <c r="A4" t="s">
        <v>76</v>
      </c>
      <c r="B4" t="s">
        <v>77</v>
      </c>
      <c r="C4">
        <v>4</v>
      </c>
      <c r="E4">
        <v>11</v>
      </c>
      <c r="F4">
        <v>13</v>
      </c>
      <c r="G4">
        <v>24</v>
      </c>
      <c r="H4">
        <v>10.95</v>
      </c>
      <c r="I4">
        <v>6</v>
      </c>
      <c r="J4">
        <v>38</v>
      </c>
      <c r="K4">
        <v>3.78</v>
      </c>
    </row>
    <row r="5" spans="1:11" ht="12.75">
      <c r="A5" t="s">
        <v>31</v>
      </c>
      <c r="B5" t="s">
        <v>32</v>
      </c>
      <c r="C5">
        <v>2</v>
      </c>
      <c r="E5">
        <v>5</v>
      </c>
      <c r="F5">
        <v>9</v>
      </c>
      <c r="G5">
        <v>14</v>
      </c>
      <c r="H5">
        <v>6.39</v>
      </c>
      <c r="I5">
        <v>6</v>
      </c>
      <c r="J5">
        <v>35</v>
      </c>
      <c r="K5">
        <v>3.48</v>
      </c>
    </row>
    <row r="6" spans="1:11" ht="12.75">
      <c r="A6" t="s">
        <v>83</v>
      </c>
      <c r="B6" t="s">
        <v>84</v>
      </c>
      <c r="C6">
        <v>2</v>
      </c>
      <c r="E6">
        <v>7</v>
      </c>
      <c r="F6">
        <v>7</v>
      </c>
      <c r="G6">
        <v>14</v>
      </c>
      <c r="H6">
        <v>6.39</v>
      </c>
      <c r="I6">
        <v>3</v>
      </c>
      <c r="J6">
        <v>23</v>
      </c>
      <c r="K6">
        <v>2.29</v>
      </c>
    </row>
    <row r="7" spans="1:11" ht="12.75">
      <c r="A7" t="s">
        <v>14</v>
      </c>
      <c r="B7" t="s">
        <v>15</v>
      </c>
      <c r="C7">
        <v>2</v>
      </c>
      <c r="E7">
        <v>9</v>
      </c>
      <c r="F7">
        <v>5</v>
      </c>
      <c r="G7">
        <v>14</v>
      </c>
      <c r="H7">
        <v>6.39</v>
      </c>
      <c r="I7">
        <v>17</v>
      </c>
      <c r="J7">
        <v>129</v>
      </c>
      <c r="K7" s="7">
        <v>12.84</v>
      </c>
    </row>
    <row r="8" spans="1:11" ht="12.75">
      <c r="A8" t="s">
        <v>55</v>
      </c>
      <c r="B8" t="s">
        <v>56</v>
      </c>
      <c r="C8">
        <v>2</v>
      </c>
      <c r="E8">
        <v>10</v>
      </c>
      <c r="F8">
        <v>3</v>
      </c>
      <c r="G8">
        <v>13</v>
      </c>
      <c r="H8">
        <v>5.93</v>
      </c>
      <c r="I8">
        <v>12</v>
      </c>
      <c r="J8">
        <v>63</v>
      </c>
      <c r="K8">
        <v>6.27</v>
      </c>
    </row>
    <row r="9" spans="1:11" ht="12.75">
      <c r="A9" t="s">
        <v>62</v>
      </c>
      <c r="B9" t="s">
        <v>87</v>
      </c>
      <c r="C9">
        <v>2</v>
      </c>
      <c r="E9">
        <v>6</v>
      </c>
      <c r="F9">
        <v>6</v>
      </c>
      <c r="G9">
        <v>12</v>
      </c>
      <c r="H9">
        <v>5.47</v>
      </c>
      <c r="I9">
        <v>3</v>
      </c>
      <c r="J9">
        <v>20</v>
      </c>
      <c r="K9">
        <v>1.99</v>
      </c>
    </row>
    <row r="10" spans="1:11" ht="12.75">
      <c r="A10" t="s">
        <v>53</v>
      </c>
      <c r="B10" t="s">
        <v>54</v>
      </c>
      <c r="C10">
        <v>2</v>
      </c>
      <c r="E10">
        <v>6</v>
      </c>
      <c r="F10">
        <v>5</v>
      </c>
      <c r="G10">
        <v>11</v>
      </c>
      <c r="H10">
        <v>5.02</v>
      </c>
      <c r="I10">
        <v>11</v>
      </c>
      <c r="J10">
        <v>79</v>
      </c>
      <c r="K10" s="7">
        <v>7.86</v>
      </c>
    </row>
    <row r="11" spans="1:11" ht="12.75">
      <c r="A11" t="s">
        <v>60</v>
      </c>
      <c r="B11" t="s">
        <v>61</v>
      </c>
      <c r="C11">
        <v>2</v>
      </c>
      <c r="E11">
        <v>5</v>
      </c>
      <c r="F11">
        <v>5</v>
      </c>
      <c r="G11">
        <v>10</v>
      </c>
      <c r="H11">
        <v>4.56</v>
      </c>
      <c r="I11">
        <v>5</v>
      </c>
      <c r="J11">
        <v>28</v>
      </c>
      <c r="K11">
        <v>2.78</v>
      </c>
    </row>
    <row r="12" spans="1:11" ht="12.75">
      <c r="A12" t="s">
        <v>91</v>
      </c>
      <c r="B12" t="s">
        <v>92</v>
      </c>
      <c r="C12">
        <v>1</v>
      </c>
      <c r="E12">
        <v>0</v>
      </c>
      <c r="F12">
        <v>1</v>
      </c>
      <c r="G12">
        <v>1</v>
      </c>
      <c r="H12">
        <v>0.45</v>
      </c>
      <c r="I12">
        <v>1</v>
      </c>
      <c r="J12">
        <v>1</v>
      </c>
      <c r="K12">
        <v>0.09</v>
      </c>
    </row>
    <row r="13" spans="1:11" ht="12.75">
      <c r="A13" t="s">
        <v>93</v>
      </c>
      <c r="B13" t="s">
        <v>94</v>
      </c>
      <c r="C13">
        <v>1</v>
      </c>
      <c r="E13">
        <v>4</v>
      </c>
      <c r="F13">
        <v>6</v>
      </c>
      <c r="G13">
        <v>10</v>
      </c>
      <c r="H13">
        <v>4.56</v>
      </c>
      <c r="I13">
        <v>1</v>
      </c>
      <c r="J13">
        <v>10</v>
      </c>
      <c r="K13">
        <v>0.99</v>
      </c>
    </row>
    <row r="14" spans="1:11" ht="12.75">
      <c r="A14" t="s">
        <v>22</v>
      </c>
      <c r="B14" t="s">
        <v>23</v>
      </c>
      <c r="C14">
        <v>1</v>
      </c>
      <c r="E14">
        <v>7</v>
      </c>
      <c r="F14">
        <v>3</v>
      </c>
      <c r="G14">
        <v>10</v>
      </c>
      <c r="H14">
        <v>4.56</v>
      </c>
      <c r="I14">
        <v>13</v>
      </c>
      <c r="J14">
        <v>102</v>
      </c>
      <c r="K14">
        <v>4.78</v>
      </c>
    </row>
    <row r="15" spans="1:11" ht="12.75">
      <c r="A15" t="s">
        <v>95</v>
      </c>
      <c r="B15" t="s">
        <v>96</v>
      </c>
      <c r="C15">
        <v>1</v>
      </c>
      <c r="E15">
        <v>5</v>
      </c>
      <c r="F15">
        <v>4</v>
      </c>
      <c r="G15">
        <v>9</v>
      </c>
      <c r="H15">
        <v>4.1</v>
      </c>
      <c r="I15">
        <v>1</v>
      </c>
      <c r="J15">
        <v>9</v>
      </c>
      <c r="K15">
        <v>0.89</v>
      </c>
    </row>
    <row r="16" spans="1:11" ht="12.75">
      <c r="A16" t="s">
        <v>26</v>
      </c>
      <c r="B16" t="s">
        <v>27</v>
      </c>
      <c r="C16">
        <v>1</v>
      </c>
      <c r="E16">
        <v>4</v>
      </c>
      <c r="F16">
        <v>4</v>
      </c>
      <c r="G16">
        <v>8</v>
      </c>
      <c r="H16">
        <v>3.65</v>
      </c>
      <c r="I16">
        <v>5</v>
      </c>
      <c r="J16">
        <v>39</v>
      </c>
      <c r="K16">
        <v>2.49</v>
      </c>
    </row>
    <row r="17" spans="1:11" ht="12.75">
      <c r="A17" t="s">
        <v>97</v>
      </c>
      <c r="B17" t="s">
        <v>98</v>
      </c>
      <c r="C17">
        <v>1</v>
      </c>
      <c r="E17">
        <v>3</v>
      </c>
      <c r="F17">
        <v>5</v>
      </c>
      <c r="G17">
        <v>8</v>
      </c>
      <c r="H17">
        <v>3.65</v>
      </c>
      <c r="I17">
        <v>1</v>
      </c>
      <c r="J17">
        <v>8</v>
      </c>
      <c r="K17">
        <v>0.79</v>
      </c>
    </row>
    <row r="18" spans="1:11" ht="12.75">
      <c r="A18" t="s">
        <v>66</v>
      </c>
      <c r="B18" t="s">
        <v>67</v>
      </c>
      <c r="C18">
        <v>1</v>
      </c>
      <c r="E18">
        <v>4</v>
      </c>
      <c r="F18">
        <v>3</v>
      </c>
      <c r="G18">
        <v>7</v>
      </c>
      <c r="H18">
        <v>3.19</v>
      </c>
      <c r="I18">
        <v>6</v>
      </c>
      <c r="J18">
        <v>39</v>
      </c>
      <c r="K18">
        <v>3.88</v>
      </c>
    </row>
    <row r="19" spans="1:11" ht="12.75">
      <c r="A19" t="s">
        <v>99</v>
      </c>
      <c r="C19">
        <v>1</v>
      </c>
      <c r="E19">
        <v>3</v>
      </c>
      <c r="F19">
        <v>4</v>
      </c>
      <c r="G19">
        <v>7</v>
      </c>
      <c r="H19">
        <v>3.19</v>
      </c>
      <c r="I19">
        <v>1</v>
      </c>
      <c r="J19">
        <v>7</v>
      </c>
      <c r="K19">
        <v>0.69</v>
      </c>
    </row>
    <row r="20" spans="1:11" ht="12.75">
      <c r="A20" t="s">
        <v>100</v>
      </c>
      <c r="B20" t="s">
        <v>101</v>
      </c>
      <c r="C20">
        <v>1</v>
      </c>
      <c r="E20">
        <v>1</v>
      </c>
      <c r="F20">
        <v>5</v>
      </c>
      <c r="G20">
        <v>6</v>
      </c>
      <c r="H20">
        <v>2.73</v>
      </c>
      <c r="I20">
        <v>1</v>
      </c>
      <c r="J20">
        <v>6</v>
      </c>
      <c r="K20">
        <v>0.59</v>
      </c>
    </row>
    <row r="21" spans="1:11" ht="12.75">
      <c r="A21" t="s">
        <v>33</v>
      </c>
      <c r="B21" t="s">
        <v>34</v>
      </c>
      <c r="C21">
        <v>1</v>
      </c>
      <c r="E21">
        <v>3</v>
      </c>
      <c r="F21">
        <v>3</v>
      </c>
      <c r="G21">
        <v>6</v>
      </c>
      <c r="H21">
        <v>2.73</v>
      </c>
      <c r="I21">
        <v>2</v>
      </c>
      <c r="J21">
        <v>13</v>
      </c>
      <c r="K21">
        <v>1.29</v>
      </c>
    </row>
    <row r="22" spans="1:11" ht="12.75">
      <c r="A22" t="s">
        <v>88</v>
      </c>
      <c r="B22" t="s">
        <v>89</v>
      </c>
      <c r="C22">
        <v>1</v>
      </c>
      <c r="E22">
        <v>2</v>
      </c>
      <c r="F22">
        <v>1</v>
      </c>
      <c r="G22">
        <v>3</v>
      </c>
      <c r="H22">
        <v>1.36</v>
      </c>
      <c r="I22">
        <v>2</v>
      </c>
      <c r="J22">
        <v>11</v>
      </c>
      <c r="K22">
        <v>1.09</v>
      </c>
    </row>
    <row r="23" spans="1:11" ht="12.75">
      <c r="A23" t="s">
        <v>62</v>
      </c>
      <c r="B23" t="s">
        <v>63</v>
      </c>
      <c r="C23">
        <v>1</v>
      </c>
      <c r="E23">
        <v>1</v>
      </c>
      <c r="F23">
        <v>2</v>
      </c>
      <c r="G23">
        <v>3</v>
      </c>
      <c r="H23">
        <v>1.36</v>
      </c>
      <c r="I23">
        <v>3</v>
      </c>
      <c r="J23">
        <v>13</v>
      </c>
      <c r="K23">
        <v>1.29</v>
      </c>
    </row>
    <row r="24" spans="1:7" ht="12.75">
      <c r="A24" s="2" t="s">
        <v>8</v>
      </c>
      <c r="C24" s="2">
        <v>35</v>
      </c>
      <c r="E24" s="2">
        <v>113</v>
      </c>
      <c r="F24" s="2">
        <v>106</v>
      </c>
      <c r="G24" s="2">
        <v>219</v>
      </c>
    </row>
    <row r="25" spans="1:2" ht="12.75">
      <c r="A25" s="2" t="s">
        <v>51</v>
      </c>
      <c r="B25" s="8">
        <v>52.5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A27" sqref="A27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8.0039062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102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13</v>
      </c>
    </row>
    <row r="3" spans="1:12" ht="12.75">
      <c r="A3" s="6" t="s">
        <v>103</v>
      </c>
      <c r="B3" s="6" t="s">
        <v>96</v>
      </c>
      <c r="C3" s="6">
        <v>4</v>
      </c>
      <c r="D3" s="6"/>
      <c r="E3" s="6">
        <v>14</v>
      </c>
      <c r="F3" s="6">
        <v>13</v>
      </c>
      <c r="G3" s="6">
        <v>27</v>
      </c>
      <c r="H3" s="6">
        <v>9.34</v>
      </c>
      <c r="I3" s="6">
        <v>5</v>
      </c>
      <c r="J3" s="6">
        <v>36</v>
      </c>
      <c r="K3" s="6">
        <v>2.39</v>
      </c>
      <c r="L3" s="6"/>
    </row>
    <row r="4" spans="1:11" ht="12.75">
      <c r="A4" t="s">
        <v>53</v>
      </c>
      <c r="B4" t="s">
        <v>54</v>
      </c>
      <c r="C4">
        <v>3</v>
      </c>
      <c r="E4">
        <v>12</v>
      </c>
      <c r="F4">
        <v>15</v>
      </c>
      <c r="G4">
        <v>27</v>
      </c>
      <c r="H4">
        <v>9.34</v>
      </c>
      <c r="I4">
        <v>14</v>
      </c>
      <c r="J4">
        <v>106</v>
      </c>
      <c r="K4" s="7">
        <v>9.75</v>
      </c>
    </row>
    <row r="5" spans="1:11" ht="12.75">
      <c r="A5" t="s">
        <v>14</v>
      </c>
      <c r="B5" t="s">
        <v>15</v>
      </c>
      <c r="C5">
        <v>2</v>
      </c>
      <c r="E5">
        <v>6</v>
      </c>
      <c r="F5">
        <v>9</v>
      </c>
      <c r="G5">
        <v>15</v>
      </c>
      <c r="H5">
        <v>5.19</v>
      </c>
      <c r="I5">
        <v>19</v>
      </c>
      <c r="J5">
        <v>144</v>
      </c>
      <c r="K5" s="7">
        <v>9.01</v>
      </c>
    </row>
    <row r="6" spans="1:11" ht="12.75">
      <c r="A6" t="s">
        <v>104</v>
      </c>
      <c r="B6" t="s">
        <v>105</v>
      </c>
      <c r="C6">
        <v>2</v>
      </c>
      <c r="E6">
        <v>8</v>
      </c>
      <c r="F6">
        <v>10</v>
      </c>
      <c r="G6">
        <v>18</v>
      </c>
      <c r="H6">
        <v>6.22</v>
      </c>
      <c r="I6">
        <v>2</v>
      </c>
      <c r="J6">
        <v>18</v>
      </c>
      <c r="K6">
        <v>1.65</v>
      </c>
    </row>
    <row r="7" spans="1:11" ht="12.75">
      <c r="A7" t="s">
        <v>106</v>
      </c>
      <c r="B7" t="s">
        <v>107</v>
      </c>
      <c r="C7">
        <v>2</v>
      </c>
      <c r="E7">
        <v>9</v>
      </c>
      <c r="F7">
        <v>9</v>
      </c>
      <c r="G7">
        <v>18</v>
      </c>
      <c r="H7">
        <v>6.22</v>
      </c>
      <c r="I7">
        <v>2</v>
      </c>
      <c r="J7">
        <v>18</v>
      </c>
      <c r="K7">
        <v>1.65</v>
      </c>
    </row>
    <row r="8" spans="1:11" ht="12.75">
      <c r="A8" t="s">
        <v>62</v>
      </c>
      <c r="B8" t="s">
        <v>108</v>
      </c>
      <c r="C8">
        <v>2</v>
      </c>
      <c r="E8">
        <v>9</v>
      </c>
      <c r="F8">
        <v>8</v>
      </c>
      <c r="G8">
        <v>17</v>
      </c>
      <c r="H8">
        <v>5.88</v>
      </c>
      <c r="I8">
        <v>5</v>
      </c>
      <c r="J8">
        <v>47</v>
      </c>
      <c r="K8">
        <v>4.32</v>
      </c>
    </row>
    <row r="9" spans="1:11" ht="12.75">
      <c r="A9" t="s">
        <v>60</v>
      </c>
      <c r="B9" t="s">
        <v>61</v>
      </c>
      <c r="C9">
        <v>2</v>
      </c>
      <c r="E9">
        <v>6</v>
      </c>
      <c r="F9">
        <v>10</v>
      </c>
      <c r="G9">
        <v>16</v>
      </c>
      <c r="H9">
        <v>5.53</v>
      </c>
      <c r="I9">
        <v>7</v>
      </c>
      <c r="J9">
        <v>44</v>
      </c>
      <c r="K9">
        <v>4.04</v>
      </c>
    </row>
    <row r="10" spans="1:11" ht="12.75">
      <c r="A10" t="s">
        <v>93</v>
      </c>
      <c r="B10" t="s">
        <v>109</v>
      </c>
      <c r="C10">
        <v>2</v>
      </c>
      <c r="E10">
        <v>3</v>
      </c>
      <c r="F10">
        <v>12</v>
      </c>
      <c r="G10">
        <v>15</v>
      </c>
      <c r="H10">
        <v>5.19</v>
      </c>
      <c r="I10">
        <v>3</v>
      </c>
      <c r="J10">
        <v>25</v>
      </c>
      <c r="K10">
        <v>2.29</v>
      </c>
    </row>
    <row r="11" spans="1:11" ht="12.75">
      <c r="A11" t="s">
        <v>22</v>
      </c>
      <c r="B11" t="s">
        <v>110</v>
      </c>
      <c r="C11">
        <v>2</v>
      </c>
      <c r="E11">
        <v>8</v>
      </c>
      <c r="F11">
        <v>6</v>
      </c>
      <c r="G11">
        <v>14</v>
      </c>
      <c r="H11">
        <v>4.84</v>
      </c>
      <c r="I11">
        <v>15</v>
      </c>
      <c r="J11">
        <v>116</v>
      </c>
      <c r="K11">
        <v>4.23</v>
      </c>
    </row>
    <row r="12" spans="1:11" ht="12.75">
      <c r="A12" t="s">
        <v>26</v>
      </c>
      <c r="B12" t="s">
        <v>111</v>
      </c>
      <c r="C12">
        <v>2</v>
      </c>
      <c r="E12">
        <v>7</v>
      </c>
      <c r="F12">
        <v>5</v>
      </c>
      <c r="G12">
        <v>12</v>
      </c>
      <c r="H12">
        <v>4.15</v>
      </c>
      <c r="I12">
        <v>2</v>
      </c>
      <c r="J12">
        <v>12</v>
      </c>
      <c r="K12">
        <v>1.1</v>
      </c>
    </row>
    <row r="13" spans="1:11" ht="12.75">
      <c r="A13" t="s">
        <v>112</v>
      </c>
      <c r="B13" t="s">
        <v>113</v>
      </c>
      <c r="C13">
        <v>2</v>
      </c>
      <c r="E13">
        <v>5</v>
      </c>
      <c r="F13">
        <v>4</v>
      </c>
      <c r="G13">
        <v>9</v>
      </c>
      <c r="H13">
        <v>3.11</v>
      </c>
      <c r="I13">
        <v>2</v>
      </c>
      <c r="J13">
        <v>9</v>
      </c>
      <c r="K13">
        <v>0.82</v>
      </c>
    </row>
    <row r="14" spans="1:11" ht="12.75">
      <c r="A14" t="s">
        <v>26</v>
      </c>
      <c r="B14" t="s">
        <v>27</v>
      </c>
      <c r="C14">
        <v>2</v>
      </c>
      <c r="E14">
        <v>6</v>
      </c>
      <c r="F14">
        <v>0</v>
      </c>
      <c r="G14">
        <v>6</v>
      </c>
      <c r="H14">
        <v>2.07</v>
      </c>
      <c r="I14">
        <v>7</v>
      </c>
      <c r="J14">
        <v>45</v>
      </c>
      <c r="K14">
        <v>1.93</v>
      </c>
    </row>
    <row r="15" spans="1:11" ht="12.75">
      <c r="A15" t="s">
        <v>74</v>
      </c>
      <c r="B15" t="s">
        <v>75</v>
      </c>
      <c r="C15">
        <v>2</v>
      </c>
      <c r="E15">
        <v>3</v>
      </c>
      <c r="F15">
        <v>1</v>
      </c>
      <c r="G15">
        <v>4</v>
      </c>
      <c r="H15">
        <v>1.38</v>
      </c>
      <c r="I15">
        <v>10</v>
      </c>
      <c r="J15">
        <v>53</v>
      </c>
      <c r="K15">
        <v>4.87</v>
      </c>
    </row>
    <row r="16" spans="1:11" ht="12.75">
      <c r="A16" t="s">
        <v>114</v>
      </c>
      <c r="B16" t="s">
        <v>115</v>
      </c>
      <c r="C16">
        <v>1</v>
      </c>
      <c r="E16">
        <v>6</v>
      </c>
      <c r="F16">
        <v>5</v>
      </c>
      <c r="G16">
        <v>11</v>
      </c>
      <c r="H16">
        <v>3.8</v>
      </c>
      <c r="I16">
        <v>1</v>
      </c>
      <c r="J16">
        <v>11</v>
      </c>
      <c r="K16">
        <v>1.01</v>
      </c>
    </row>
    <row r="17" spans="1:11" ht="12.75">
      <c r="A17" t="s">
        <v>116</v>
      </c>
      <c r="B17" t="s">
        <v>117</v>
      </c>
      <c r="C17">
        <v>1</v>
      </c>
      <c r="E17">
        <v>7</v>
      </c>
      <c r="F17">
        <v>2</v>
      </c>
      <c r="G17">
        <v>9</v>
      </c>
      <c r="H17">
        <v>3.11</v>
      </c>
      <c r="I17">
        <v>1</v>
      </c>
      <c r="J17">
        <v>9</v>
      </c>
      <c r="K17">
        <v>0.82</v>
      </c>
    </row>
    <row r="18" spans="1:11" ht="12.75">
      <c r="A18" t="s">
        <v>118</v>
      </c>
      <c r="B18" t="s">
        <v>119</v>
      </c>
      <c r="C18">
        <v>1</v>
      </c>
      <c r="E18">
        <v>5</v>
      </c>
      <c r="F18">
        <v>3</v>
      </c>
      <c r="G18">
        <v>8</v>
      </c>
      <c r="H18">
        <v>2.76</v>
      </c>
      <c r="I18">
        <v>1</v>
      </c>
      <c r="J18">
        <v>8</v>
      </c>
      <c r="K18">
        <v>0.73</v>
      </c>
    </row>
    <row r="19" spans="1:11" ht="12.75">
      <c r="A19" t="s">
        <v>120</v>
      </c>
      <c r="B19" t="s">
        <v>121</v>
      </c>
      <c r="C19">
        <v>1</v>
      </c>
      <c r="E19">
        <v>2</v>
      </c>
      <c r="F19">
        <v>6</v>
      </c>
      <c r="G19">
        <v>8</v>
      </c>
      <c r="H19">
        <v>2.76</v>
      </c>
      <c r="I19">
        <v>1</v>
      </c>
      <c r="J19">
        <v>8</v>
      </c>
      <c r="K19">
        <v>0.73</v>
      </c>
    </row>
    <row r="20" spans="1:11" ht="12.75">
      <c r="A20" t="s">
        <v>70</v>
      </c>
      <c r="B20" t="s">
        <v>71</v>
      </c>
      <c r="C20">
        <v>1</v>
      </c>
      <c r="E20">
        <v>3</v>
      </c>
      <c r="F20">
        <v>5</v>
      </c>
      <c r="G20">
        <v>8</v>
      </c>
      <c r="H20">
        <v>2.76</v>
      </c>
      <c r="I20">
        <v>2</v>
      </c>
      <c r="J20">
        <v>18</v>
      </c>
      <c r="K20">
        <v>1.65</v>
      </c>
    </row>
    <row r="21" spans="1:11" ht="12.75">
      <c r="A21" t="s">
        <v>80</v>
      </c>
      <c r="B21" t="s">
        <v>81</v>
      </c>
      <c r="C21">
        <v>1</v>
      </c>
      <c r="E21">
        <v>2</v>
      </c>
      <c r="F21">
        <v>6</v>
      </c>
      <c r="G21">
        <v>8</v>
      </c>
      <c r="H21">
        <v>2.76</v>
      </c>
      <c r="I21">
        <v>3</v>
      </c>
      <c r="J21">
        <v>20</v>
      </c>
      <c r="K21">
        <v>1.83</v>
      </c>
    </row>
    <row r="22" spans="1:11" ht="12.75">
      <c r="A22" t="s">
        <v>55</v>
      </c>
      <c r="B22" t="s">
        <v>56</v>
      </c>
      <c r="C22">
        <v>1</v>
      </c>
      <c r="E22">
        <v>4</v>
      </c>
      <c r="F22">
        <v>4</v>
      </c>
      <c r="G22">
        <v>8</v>
      </c>
      <c r="H22">
        <v>2.76</v>
      </c>
      <c r="I22">
        <v>13</v>
      </c>
      <c r="J22">
        <v>71</v>
      </c>
      <c r="K22" s="7">
        <v>6.53</v>
      </c>
    </row>
    <row r="23" spans="1:11" ht="12.75">
      <c r="A23" t="s">
        <v>76</v>
      </c>
      <c r="B23" t="s">
        <v>77</v>
      </c>
      <c r="C23">
        <v>1</v>
      </c>
      <c r="E23">
        <v>4</v>
      </c>
      <c r="F23">
        <v>3</v>
      </c>
      <c r="G23">
        <v>7</v>
      </c>
      <c r="H23">
        <v>2.42</v>
      </c>
      <c r="I23">
        <v>7</v>
      </c>
      <c r="J23">
        <v>45</v>
      </c>
      <c r="K23">
        <v>1.93</v>
      </c>
    </row>
    <row r="24" spans="1:11" ht="12.75">
      <c r="A24" t="s">
        <v>37</v>
      </c>
      <c r="B24" t="s">
        <v>122</v>
      </c>
      <c r="C24">
        <v>1</v>
      </c>
      <c r="E24">
        <v>4</v>
      </c>
      <c r="F24">
        <v>3</v>
      </c>
      <c r="G24">
        <v>7</v>
      </c>
      <c r="H24">
        <v>2.42</v>
      </c>
      <c r="I24">
        <v>1</v>
      </c>
      <c r="J24">
        <v>7</v>
      </c>
      <c r="K24">
        <v>0.64</v>
      </c>
    </row>
    <row r="25" spans="1:11" ht="12.75">
      <c r="A25" s="6" t="s">
        <v>123</v>
      </c>
      <c r="B25" t="s">
        <v>124</v>
      </c>
      <c r="C25">
        <v>1</v>
      </c>
      <c r="E25">
        <v>3</v>
      </c>
      <c r="F25">
        <v>3</v>
      </c>
      <c r="G25">
        <v>6</v>
      </c>
      <c r="H25">
        <v>2.07</v>
      </c>
      <c r="I25">
        <v>1</v>
      </c>
      <c r="J25">
        <v>6</v>
      </c>
      <c r="K25">
        <v>0.55</v>
      </c>
    </row>
    <row r="26" spans="1:11" ht="12.75">
      <c r="A26" t="s">
        <v>31</v>
      </c>
      <c r="B26" t="s">
        <v>32</v>
      </c>
      <c r="C26">
        <v>1</v>
      </c>
      <c r="E26">
        <v>0</v>
      </c>
      <c r="F26">
        <v>4</v>
      </c>
      <c r="G26">
        <v>4</v>
      </c>
      <c r="H26">
        <v>1.38</v>
      </c>
      <c r="I26">
        <v>7</v>
      </c>
      <c r="J26">
        <v>39</v>
      </c>
      <c r="K26">
        <v>3.03</v>
      </c>
    </row>
    <row r="27" spans="1:11" ht="12.75">
      <c r="A27" t="s">
        <v>125</v>
      </c>
      <c r="B27" t="s">
        <v>126</v>
      </c>
      <c r="C27">
        <v>1</v>
      </c>
      <c r="E27">
        <v>0</v>
      </c>
      <c r="F27">
        <v>4</v>
      </c>
      <c r="G27">
        <v>4</v>
      </c>
      <c r="H27">
        <v>1.38</v>
      </c>
      <c r="I27">
        <v>1</v>
      </c>
      <c r="J27">
        <v>4</v>
      </c>
      <c r="K27">
        <v>0.36</v>
      </c>
    </row>
    <row r="28" spans="1:11" ht="12.75">
      <c r="A28" t="s">
        <v>18</v>
      </c>
      <c r="B28" t="s">
        <v>19</v>
      </c>
      <c r="C28">
        <v>1</v>
      </c>
      <c r="E28">
        <v>2</v>
      </c>
      <c r="F28">
        <v>1</v>
      </c>
      <c r="G28">
        <v>3</v>
      </c>
      <c r="H28">
        <v>1.03</v>
      </c>
      <c r="I28">
        <v>16</v>
      </c>
      <c r="J28">
        <v>90</v>
      </c>
      <c r="K28">
        <v>2.94</v>
      </c>
    </row>
    <row r="29" spans="1:7" ht="12.75">
      <c r="A29" s="2" t="s">
        <v>8</v>
      </c>
      <c r="C29" s="2">
        <v>42</v>
      </c>
      <c r="E29" s="2">
        <v>138</v>
      </c>
      <c r="F29" s="2">
        <v>151</v>
      </c>
      <c r="G29" s="2">
        <v>289</v>
      </c>
    </row>
    <row r="30" spans="1:2" ht="12.75">
      <c r="A30" s="2" t="s">
        <v>51</v>
      </c>
      <c r="B30" s="2">
        <v>64.23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zoomScalePageLayoutView="0" workbookViewId="0" topLeftCell="A19">
      <selection activeCell="E34" sqref="E34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710937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127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128</v>
      </c>
    </row>
    <row r="3" spans="1:12" ht="12.75">
      <c r="A3" s="6" t="s">
        <v>103</v>
      </c>
      <c r="B3" s="6" t="s">
        <v>96</v>
      </c>
      <c r="C3" s="6">
        <v>6</v>
      </c>
      <c r="D3" s="6"/>
      <c r="E3" s="6">
        <v>16</v>
      </c>
      <c r="F3" s="6">
        <v>17</v>
      </c>
      <c r="G3" s="6">
        <v>33</v>
      </c>
      <c r="H3" s="6">
        <v>14.34</v>
      </c>
      <c r="I3" s="6">
        <v>11</v>
      </c>
      <c r="J3" s="6">
        <v>69</v>
      </c>
      <c r="K3" s="7">
        <v>6.23</v>
      </c>
      <c r="L3" s="2"/>
    </row>
    <row r="4" spans="1:11" ht="12.75">
      <c r="A4" t="s">
        <v>112</v>
      </c>
      <c r="B4" t="s">
        <v>113</v>
      </c>
      <c r="C4">
        <v>6</v>
      </c>
      <c r="D4">
        <v>4</v>
      </c>
      <c r="E4">
        <v>6</v>
      </c>
      <c r="F4">
        <v>8</v>
      </c>
      <c r="G4">
        <v>14</v>
      </c>
      <c r="H4">
        <v>6.08</v>
      </c>
      <c r="I4">
        <v>8</v>
      </c>
      <c r="J4">
        <v>23</v>
      </c>
      <c r="K4">
        <v>2.07</v>
      </c>
    </row>
    <row r="5" spans="1:11" ht="12.75">
      <c r="A5" t="s">
        <v>53</v>
      </c>
      <c r="B5" t="s">
        <v>129</v>
      </c>
      <c r="C5">
        <v>5</v>
      </c>
      <c r="E5">
        <v>14</v>
      </c>
      <c r="F5">
        <v>23</v>
      </c>
      <c r="G5">
        <v>37</v>
      </c>
      <c r="H5">
        <v>16.08</v>
      </c>
      <c r="I5">
        <v>19</v>
      </c>
      <c r="J5">
        <v>143</v>
      </c>
      <c r="K5" s="7">
        <v>12.91</v>
      </c>
    </row>
    <row r="6" spans="1:11" ht="12.75">
      <c r="A6" t="s">
        <v>83</v>
      </c>
      <c r="B6" t="s">
        <v>84</v>
      </c>
      <c r="C6">
        <v>4</v>
      </c>
      <c r="E6">
        <v>17</v>
      </c>
      <c r="F6">
        <v>8</v>
      </c>
      <c r="G6">
        <v>25</v>
      </c>
      <c r="H6">
        <v>10.86</v>
      </c>
      <c r="I6">
        <v>7</v>
      </c>
      <c r="J6">
        <v>48</v>
      </c>
      <c r="K6">
        <v>4.33</v>
      </c>
    </row>
    <row r="7" spans="1:11" ht="12.75">
      <c r="A7" t="s">
        <v>55</v>
      </c>
      <c r="B7" t="s">
        <v>56</v>
      </c>
      <c r="C7">
        <v>4</v>
      </c>
      <c r="D7">
        <v>4</v>
      </c>
      <c r="I7">
        <v>17</v>
      </c>
      <c r="J7">
        <v>71</v>
      </c>
      <c r="K7" s="7">
        <v>5.32</v>
      </c>
    </row>
    <row r="8" spans="1:11" ht="12.75">
      <c r="A8" t="s">
        <v>123</v>
      </c>
      <c r="B8" t="s">
        <v>124</v>
      </c>
      <c r="C8">
        <v>3</v>
      </c>
      <c r="E8">
        <v>8</v>
      </c>
      <c r="F8">
        <v>18</v>
      </c>
      <c r="G8">
        <v>26</v>
      </c>
      <c r="H8">
        <v>11.3</v>
      </c>
      <c r="I8">
        <v>4</v>
      </c>
      <c r="J8">
        <v>32</v>
      </c>
      <c r="K8">
        <v>2.89</v>
      </c>
    </row>
    <row r="9" spans="1:11" ht="12.75">
      <c r="A9" t="s">
        <v>70</v>
      </c>
      <c r="B9" t="s">
        <v>71</v>
      </c>
      <c r="C9">
        <v>3</v>
      </c>
      <c r="D9">
        <v>2</v>
      </c>
      <c r="E9">
        <v>4</v>
      </c>
      <c r="F9">
        <v>1</v>
      </c>
      <c r="G9">
        <v>5</v>
      </c>
      <c r="H9">
        <v>2.17</v>
      </c>
      <c r="I9">
        <v>5</v>
      </c>
      <c r="J9">
        <v>23</v>
      </c>
      <c r="K9">
        <v>2.07</v>
      </c>
    </row>
    <row r="10" spans="1:11" ht="12.75">
      <c r="A10" t="s">
        <v>74</v>
      </c>
      <c r="B10" t="s">
        <v>75</v>
      </c>
      <c r="C10">
        <v>2</v>
      </c>
      <c r="E10">
        <v>2</v>
      </c>
      <c r="F10">
        <v>8</v>
      </c>
      <c r="G10">
        <v>10</v>
      </c>
      <c r="H10">
        <v>4.34</v>
      </c>
      <c r="I10">
        <v>12</v>
      </c>
      <c r="J10">
        <v>63</v>
      </c>
      <c r="K10" s="7">
        <v>5.69</v>
      </c>
    </row>
    <row r="11" spans="1:11" ht="12.75">
      <c r="A11" t="s">
        <v>14</v>
      </c>
      <c r="B11" t="s">
        <v>15</v>
      </c>
      <c r="C11">
        <v>2</v>
      </c>
      <c r="D11">
        <v>1</v>
      </c>
      <c r="E11">
        <v>5</v>
      </c>
      <c r="F11">
        <v>4</v>
      </c>
      <c r="G11">
        <v>9</v>
      </c>
      <c r="H11">
        <v>3.91</v>
      </c>
      <c r="I11">
        <v>21</v>
      </c>
      <c r="J11">
        <v>153</v>
      </c>
      <c r="K11" s="7">
        <v>6.95</v>
      </c>
    </row>
    <row r="12" spans="1:11" ht="12.75">
      <c r="A12" t="s">
        <v>62</v>
      </c>
      <c r="B12" t="s">
        <v>87</v>
      </c>
      <c r="C12">
        <v>2</v>
      </c>
      <c r="D12">
        <v>1</v>
      </c>
      <c r="E12">
        <v>3</v>
      </c>
      <c r="F12">
        <v>3</v>
      </c>
      <c r="G12">
        <v>6</v>
      </c>
      <c r="H12">
        <v>2.6</v>
      </c>
      <c r="I12">
        <v>7</v>
      </c>
      <c r="J12">
        <v>53</v>
      </c>
      <c r="K12">
        <v>4.78</v>
      </c>
    </row>
    <row r="13" spans="1:11" ht="12.75">
      <c r="A13" t="s">
        <v>106</v>
      </c>
      <c r="B13" t="s">
        <v>107</v>
      </c>
      <c r="C13">
        <v>2</v>
      </c>
      <c r="D13">
        <v>1</v>
      </c>
      <c r="E13">
        <v>2</v>
      </c>
      <c r="F13">
        <v>2</v>
      </c>
      <c r="G13">
        <v>4</v>
      </c>
      <c r="H13">
        <v>1.73</v>
      </c>
      <c r="I13">
        <v>4</v>
      </c>
      <c r="J13">
        <v>22</v>
      </c>
      <c r="K13">
        <v>1.98</v>
      </c>
    </row>
    <row r="14" spans="1:11" ht="12.75">
      <c r="A14" t="s">
        <v>26</v>
      </c>
      <c r="B14" t="s">
        <v>130</v>
      </c>
      <c r="C14">
        <v>2</v>
      </c>
      <c r="D14">
        <v>2</v>
      </c>
      <c r="I14">
        <v>4</v>
      </c>
      <c r="J14">
        <v>12</v>
      </c>
      <c r="K14">
        <v>1.08</v>
      </c>
    </row>
    <row r="15" spans="1:12" ht="12.75">
      <c r="A15" t="s">
        <v>91</v>
      </c>
      <c r="B15" t="s">
        <v>92</v>
      </c>
      <c r="C15">
        <v>2</v>
      </c>
      <c r="D15">
        <v>1</v>
      </c>
      <c r="I15">
        <v>3</v>
      </c>
      <c r="J15">
        <v>1</v>
      </c>
      <c r="K15">
        <v>0.09</v>
      </c>
      <c r="L15" t="s">
        <v>131</v>
      </c>
    </row>
    <row r="16" spans="1:11" ht="12.75">
      <c r="A16" t="s">
        <v>125</v>
      </c>
      <c r="B16" t="s">
        <v>126</v>
      </c>
      <c r="C16">
        <v>1</v>
      </c>
      <c r="E16">
        <v>4</v>
      </c>
      <c r="F16">
        <v>4</v>
      </c>
      <c r="G16">
        <v>8</v>
      </c>
      <c r="H16">
        <v>3047</v>
      </c>
      <c r="I16">
        <v>2</v>
      </c>
      <c r="J16">
        <v>12</v>
      </c>
      <c r="K16">
        <v>1.08</v>
      </c>
    </row>
    <row r="17" spans="1:11" ht="12.75">
      <c r="A17" t="s">
        <v>37</v>
      </c>
      <c r="B17" t="s">
        <v>38</v>
      </c>
      <c r="C17">
        <v>1</v>
      </c>
      <c r="E17">
        <v>4</v>
      </c>
      <c r="F17">
        <v>3</v>
      </c>
      <c r="G17">
        <v>7</v>
      </c>
      <c r="H17">
        <v>3.04</v>
      </c>
      <c r="I17">
        <v>4</v>
      </c>
      <c r="J17">
        <v>28</v>
      </c>
      <c r="K17">
        <v>0.63</v>
      </c>
    </row>
    <row r="18" spans="1:11" ht="12.75">
      <c r="A18" t="s">
        <v>93</v>
      </c>
      <c r="B18" t="s">
        <v>94</v>
      </c>
      <c r="C18">
        <v>1</v>
      </c>
      <c r="E18">
        <v>3</v>
      </c>
      <c r="F18">
        <v>3</v>
      </c>
      <c r="G18">
        <v>6</v>
      </c>
      <c r="H18">
        <v>2.6</v>
      </c>
      <c r="I18">
        <v>4</v>
      </c>
      <c r="J18">
        <v>31</v>
      </c>
      <c r="K18">
        <v>2.8</v>
      </c>
    </row>
    <row r="19" spans="1:11" ht="12.75">
      <c r="A19" t="s">
        <v>76</v>
      </c>
      <c r="B19" t="s">
        <v>77</v>
      </c>
      <c r="C19">
        <v>1</v>
      </c>
      <c r="E19">
        <v>2</v>
      </c>
      <c r="F19">
        <v>4</v>
      </c>
      <c r="G19">
        <v>6</v>
      </c>
      <c r="H19">
        <v>2.6</v>
      </c>
      <c r="I19">
        <v>8</v>
      </c>
      <c r="J19">
        <v>51</v>
      </c>
      <c r="K19">
        <v>4.6</v>
      </c>
    </row>
    <row r="20" spans="1:11" ht="12.75">
      <c r="A20" t="s">
        <v>104</v>
      </c>
      <c r="B20" t="s">
        <v>132</v>
      </c>
      <c r="C20">
        <v>1</v>
      </c>
      <c r="E20">
        <v>1</v>
      </c>
      <c r="F20">
        <v>3</v>
      </c>
      <c r="G20">
        <v>4</v>
      </c>
      <c r="H20">
        <v>1.73</v>
      </c>
      <c r="I20">
        <v>3</v>
      </c>
      <c r="J20">
        <v>22</v>
      </c>
      <c r="K20">
        <v>1.98</v>
      </c>
    </row>
    <row r="21" spans="1:11" ht="12.75">
      <c r="A21" t="s">
        <v>133</v>
      </c>
      <c r="B21" t="s">
        <v>134</v>
      </c>
      <c r="C21">
        <v>1</v>
      </c>
      <c r="E21">
        <v>0</v>
      </c>
      <c r="F21">
        <v>1</v>
      </c>
      <c r="G21">
        <v>1</v>
      </c>
      <c r="H21">
        <v>0.43</v>
      </c>
      <c r="I21">
        <v>1</v>
      </c>
      <c r="J21">
        <v>1</v>
      </c>
      <c r="K21">
        <v>0.09</v>
      </c>
    </row>
    <row r="22" spans="1:11" ht="12.75">
      <c r="A22" t="s">
        <v>22</v>
      </c>
      <c r="B22" t="s">
        <v>135</v>
      </c>
      <c r="C22">
        <v>1</v>
      </c>
      <c r="D22">
        <v>1</v>
      </c>
      <c r="I22">
        <v>16</v>
      </c>
      <c r="J22">
        <v>116</v>
      </c>
      <c r="K22">
        <v>2.98</v>
      </c>
    </row>
    <row r="23" spans="1:11" ht="12.75">
      <c r="A23" t="s">
        <v>136</v>
      </c>
      <c r="B23" t="s">
        <v>137</v>
      </c>
      <c r="C23">
        <v>1</v>
      </c>
      <c r="D23">
        <v>1</v>
      </c>
      <c r="I23">
        <v>1</v>
      </c>
      <c r="J23">
        <v>0</v>
      </c>
      <c r="K23">
        <v>0</v>
      </c>
    </row>
    <row r="24" spans="1:11" ht="12.75">
      <c r="A24" t="s">
        <v>138</v>
      </c>
      <c r="B24" t="s">
        <v>139</v>
      </c>
      <c r="C24">
        <v>1</v>
      </c>
      <c r="D24">
        <v>1</v>
      </c>
      <c r="I24">
        <v>1</v>
      </c>
      <c r="J24">
        <v>0</v>
      </c>
      <c r="K24">
        <v>0</v>
      </c>
    </row>
    <row r="25" spans="1:8" ht="12.75">
      <c r="A25" s="6" t="s">
        <v>140</v>
      </c>
      <c r="C25">
        <v>5</v>
      </c>
      <c r="E25">
        <v>14</v>
      </c>
      <c r="F25">
        <v>15</v>
      </c>
      <c r="G25">
        <v>29</v>
      </c>
      <c r="H25">
        <v>12.6</v>
      </c>
    </row>
    <row r="26" spans="1:7" ht="12.75">
      <c r="A26" s="2" t="s">
        <v>8</v>
      </c>
      <c r="C26" s="2">
        <v>57</v>
      </c>
      <c r="D26" s="2">
        <v>19</v>
      </c>
      <c r="E26" s="2">
        <v>105</v>
      </c>
      <c r="F26" s="2">
        <v>125</v>
      </c>
      <c r="G26" s="2">
        <v>230</v>
      </c>
    </row>
    <row r="27" spans="1:2" ht="12.75">
      <c r="A27" s="2" t="s">
        <v>51</v>
      </c>
      <c r="B27" s="8">
        <v>45.03</v>
      </c>
    </row>
    <row r="30" spans="1:3" ht="12.75">
      <c r="A30" t="s">
        <v>141</v>
      </c>
      <c r="B30" s="9">
        <f>22+5-6</f>
        <v>21</v>
      </c>
      <c r="C30" s="9">
        <f>22-6</f>
        <v>16</v>
      </c>
    </row>
    <row r="31" spans="1:3" ht="12.75">
      <c r="A31" t="s">
        <v>142</v>
      </c>
      <c r="B31" s="9">
        <f>57-19</f>
        <v>38</v>
      </c>
      <c r="C31">
        <v>50</v>
      </c>
    </row>
    <row r="33" spans="2:5" ht="12.75">
      <c r="B33" s="9">
        <f>4*(B30*B31)/(B30+B31)</f>
        <v>54.101694915254235</v>
      </c>
      <c r="C33" s="9">
        <f>4*(C30*B31)/(C30+B31)</f>
        <v>45.03703703703704</v>
      </c>
      <c r="D33" s="9">
        <f>B33/38*50</f>
        <v>71.1864406779661</v>
      </c>
      <c r="E33" s="9">
        <f>4*(B30*C31)/(B30+C31)</f>
        <v>59.15492957746479</v>
      </c>
    </row>
    <row r="35" ht="12.75">
      <c r="A35" t="s">
        <v>143</v>
      </c>
    </row>
    <row r="36" ht="12.75">
      <c r="A36" t="s">
        <v>144</v>
      </c>
    </row>
    <row r="37" ht="12.75">
      <c r="A37" t="s">
        <v>145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28">
      <selection activeCell="F68" sqref="F68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851562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146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147</v>
      </c>
    </row>
    <row r="3" spans="1:12" ht="12.75">
      <c r="A3" s="6" t="s">
        <v>53</v>
      </c>
      <c r="B3" s="6" t="s">
        <v>54</v>
      </c>
      <c r="C3" s="6">
        <v>7</v>
      </c>
      <c r="D3" s="6"/>
      <c r="E3" s="6">
        <v>26</v>
      </c>
      <c r="F3" s="6">
        <v>38</v>
      </c>
      <c r="G3" s="6">
        <v>64</v>
      </c>
      <c r="H3" s="6">
        <v>14.81</v>
      </c>
      <c r="I3" s="6">
        <v>26</v>
      </c>
      <c r="J3" s="6">
        <v>207</v>
      </c>
      <c r="K3" s="7">
        <v>13.04</v>
      </c>
      <c r="L3" s="2"/>
    </row>
    <row r="4" spans="1:11" ht="12.75">
      <c r="A4" t="s">
        <v>93</v>
      </c>
      <c r="B4" t="s">
        <v>94</v>
      </c>
      <c r="C4">
        <v>6</v>
      </c>
      <c r="E4">
        <v>23</v>
      </c>
      <c r="F4">
        <v>23</v>
      </c>
      <c r="G4">
        <v>46</v>
      </c>
      <c r="H4">
        <v>10.64</v>
      </c>
      <c r="I4">
        <v>10</v>
      </c>
      <c r="J4">
        <v>77</v>
      </c>
      <c r="K4">
        <v>5.77</v>
      </c>
    </row>
    <row r="5" spans="1:11" ht="12.75">
      <c r="A5" t="s">
        <v>83</v>
      </c>
      <c r="B5" t="s">
        <v>84</v>
      </c>
      <c r="C5">
        <v>6</v>
      </c>
      <c r="D5">
        <v>1</v>
      </c>
      <c r="E5">
        <v>19</v>
      </c>
      <c r="F5">
        <v>17</v>
      </c>
      <c r="G5">
        <v>36</v>
      </c>
      <c r="H5">
        <v>8.33</v>
      </c>
      <c r="I5">
        <v>13</v>
      </c>
      <c r="J5">
        <v>84</v>
      </c>
      <c r="K5" s="7">
        <v>6.29</v>
      </c>
    </row>
    <row r="6" spans="1:11" ht="12.75">
      <c r="A6" t="s">
        <v>106</v>
      </c>
      <c r="B6" t="s">
        <v>107</v>
      </c>
      <c r="C6">
        <v>4</v>
      </c>
      <c r="E6">
        <v>21</v>
      </c>
      <c r="F6">
        <v>13</v>
      </c>
      <c r="G6">
        <v>34</v>
      </c>
      <c r="H6">
        <v>7.87</v>
      </c>
      <c r="I6">
        <v>8</v>
      </c>
      <c r="J6">
        <v>56</v>
      </c>
      <c r="K6">
        <v>4.19</v>
      </c>
    </row>
    <row r="7" spans="1:11" ht="12.75">
      <c r="A7" t="s">
        <v>148</v>
      </c>
      <c r="B7" t="s">
        <v>149</v>
      </c>
      <c r="C7">
        <v>4</v>
      </c>
      <c r="E7">
        <v>16</v>
      </c>
      <c r="F7">
        <v>13</v>
      </c>
      <c r="G7">
        <v>29</v>
      </c>
      <c r="H7">
        <v>6.71</v>
      </c>
      <c r="I7">
        <v>4</v>
      </c>
      <c r="J7">
        <v>29</v>
      </c>
      <c r="K7">
        <v>2.17</v>
      </c>
    </row>
    <row r="8" spans="1:11" ht="12.75">
      <c r="A8" t="s">
        <v>133</v>
      </c>
      <c r="B8" t="s">
        <v>134</v>
      </c>
      <c r="C8">
        <v>4</v>
      </c>
      <c r="E8">
        <v>10</v>
      </c>
      <c r="F8">
        <v>11</v>
      </c>
      <c r="G8">
        <v>21</v>
      </c>
      <c r="H8">
        <v>4.86</v>
      </c>
      <c r="I8">
        <v>5</v>
      </c>
      <c r="J8">
        <v>22</v>
      </c>
      <c r="K8">
        <v>1.64</v>
      </c>
    </row>
    <row r="9" spans="1:11" ht="12.75">
      <c r="A9" t="s">
        <v>14</v>
      </c>
      <c r="B9" t="s">
        <v>15</v>
      </c>
      <c r="C9">
        <v>4</v>
      </c>
      <c r="D9">
        <v>2</v>
      </c>
      <c r="E9">
        <v>6</v>
      </c>
      <c r="F9">
        <v>8</v>
      </c>
      <c r="G9">
        <v>14</v>
      </c>
      <c r="H9">
        <v>3.24</v>
      </c>
      <c r="I9">
        <v>25</v>
      </c>
      <c r="J9">
        <v>167</v>
      </c>
      <c r="K9">
        <v>4.34</v>
      </c>
    </row>
    <row r="10" spans="1:11" ht="12.75">
      <c r="A10" t="s">
        <v>26</v>
      </c>
      <c r="B10" t="s">
        <v>130</v>
      </c>
      <c r="C10">
        <v>3</v>
      </c>
      <c r="E10">
        <v>10</v>
      </c>
      <c r="F10">
        <v>15</v>
      </c>
      <c r="G10">
        <v>25</v>
      </c>
      <c r="H10">
        <v>5.78</v>
      </c>
      <c r="I10">
        <v>7</v>
      </c>
      <c r="J10">
        <v>37</v>
      </c>
      <c r="K10">
        <v>2.77</v>
      </c>
    </row>
    <row r="11" spans="1:11" ht="12.75">
      <c r="A11" t="s">
        <v>150</v>
      </c>
      <c r="B11" t="s">
        <v>151</v>
      </c>
      <c r="C11">
        <v>3</v>
      </c>
      <c r="E11">
        <v>10</v>
      </c>
      <c r="F11">
        <v>6</v>
      </c>
      <c r="G11">
        <v>16</v>
      </c>
      <c r="H11">
        <v>3.7</v>
      </c>
      <c r="I11">
        <v>3</v>
      </c>
      <c r="J11">
        <v>16</v>
      </c>
      <c r="K11">
        <v>1.19</v>
      </c>
    </row>
    <row r="12" spans="1:11" ht="12.75">
      <c r="A12" t="s">
        <v>66</v>
      </c>
      <c r="B12" t="s">
        <v>67</v>
      </c>
      <c r="C12">
        <v>2</v>
      </c>
      <c r="E12">
        <v>6</v>
      </c>
      <c r="F12">
        <v>4</v>
      </c>
      <c r="G12">
        <v>10</v>
      </c>
      <c r="H12">
        <v>2.31</v>
      </c>
      <c r="I12">
        <v>8</v>
      </c>
      <c r="J12">
        <v>49</v>
      </c>
      <c r="K12">
        <v>1.87</v>
      </c>
    </row>
    <row r="13" spans="1:11" ht="12.75">
      <c r="A13" t="s">
        <v>152</v>
      </c>
      <c r="B13" t="s">
        <v>153</v>
      </c>
      <c r="C13">
        <v>2</v>
      </c>
      <c r="E13">
        <v>7</v>
      </c>
      <c r="F13">
        <v>8</v>
      </c>
      <c r="G13">
        <v>15</v>
      </c>
      <c r="H13">
        <v>3.47</v>
      </c>
      <c r="I13">
        <v>2</v>
      </c>
      <c r="J13">
        <v>15</v>
      </c>
      <c r="K13">
        <v>1.12</v>
      </c>
    </row>
    <row r="14" spans="1:11" ht="12.75">
      <c r="A14" t="s">
        <v>123</v>
      </c>
      <c r="B14" t="s">
        <v>124</v>
      </c>
      <c r="C14">
        <v>2</v>
      </c>
      <c r="E14">
        <v>6</v>
      </c>
      <c r="F14">
        <v>10</v>
      </c>
      <c r="G14">
        <v>16</v>
      </c>
      <c r="H14">
        <v>3.7</v>
      </c>
      <c r="I14">
        <v>6</v>
      </c>
      <c r="J14">
        <v>48</v>
      </c>
      <c r="K14">
        <v>3.59</v>
      </c>
    </row>
    <row r="15" spans="1:11" ht="12.75">
      <c r="A15" t="s">
        <v>100</v>
      </c>
      <c r="B15" t="s">
        <v>101</v>
      </c>
      <c r="C15">
        <v>2</v>
      </c>
      <c r="D15">
        <v>2</v>
      </c>
      <c r="I15">
        <v>3</v>
      </c>
      <c r="J15">
        <v>6</v>
      </c>
      <c r="K15">
        <v>0.44</v>
      </c>
    </row>
    <row r="16" spans="1:11" ht="12.75">
      <c r="A16" t="s">
        <v>62</v>
      </c>
      <c r="B16" t="s">
        <v>87</v>
      </c>
      <c r="C16">
        <v>2</v>
      </c>
      <c r="D16">
        <v>2</v>
      </c>
      <c r="I16">
        <v>9</v>
      </c>
      <c r="J16">
        <v>53</v>
      </c>
      <c r="K16">
        <v>3.97</v>
      </c>
    </row>
    <row r="17" spans="1:11" ht="12.75">
      <c r="A17" t="s">
        <v>154</v>
      </c>
      <c r="B17" t="s">
        <v>155</v>
      </c>
      <c r="C17">
        <v>1</v>
      </c>
      <c r="E17">
        <v>4</v>
      </c>
      <c r="F17">
        <v>5</v>
      </c>
      <c r="G17">
        <v>9</v>
      </c>
      <c r="H17">
        <v>2.08</v>
      </c>
      <c r="I17">
        <v>1</v>
      </c>
      <c r="J17">
        <v>9</v>
      </c>
      <c r="K17">
        <v>0.67</v>
      </c>
    </row>
    <row r="18" spans="1:11" ht="12.75">
      <c r="A18" t="s">
        <v>138</v>
      </c>
      <c r="B18" t="s">
        <v>139</v>
      </c>
      <c r="C18">
        <v>1</v>
      </c>
      <c r="E18">
        <v>5</v>
      </c>
      <c r="F18">
        <v>3</v>
      </c>
      <c r="G18">
        <v>8</v>
      </c>
      <c r="H18">
        <v>1.85</v>
      </c>
      <c r="I18">
        <v>2</v>
      </c>
      <c r="J18">
        <v>8</v>
      </c>
      <c r="K18">
        <v>0.59</v>
      </c>
    </row>
    <row r="19" spans="1:11" ht="12.75">
      <c r="A19" t="s">
        <v>156</v>
      </c>
      <c r="B19" t="s">
        <v>157</v>
      </c>
      <c r="C19">
        <v>1</v>
      </c>
      <c r="E19">
        <v>5</v>
      </c>
      <c r="F19">
        <v>5</v>
      </c>
      <c r="G19">
        <v>10</v>
      </c>
      <c r="H19">
        <v>2.31</v>
      </c>
      <c r="I19">
        <v>1</v>
      </c>
      <c r="J19">
        <v>10</v>
      </c>
      <c r="K19">
        <v>0.74</v>
      </c>
    </row>
    <row r="20" spans="1:11" ht="12.75">
      <c r="A20" t="s">
        <v>74</v>
      </c>
      <c r="B20" t="s">
        <v>75</v>
      </c>
      <c r="C20">
        <v>1</v>
      </c>
      <c r="E20">
        <v>5</v>
      </c>
      <c r="F20">
        <v>1</v>
      </c>
      <c r="G20">
        <v>6</v>
      </c>
      <c r="H20">
        <v>1.38</v>
      </c>
      <c r="I20">
        <v>13</v>
      </c>
      <c r="J20">
        <v>69</v>
      </c>
      <c r="K20">
        <v>4.79</v>
      </c>
    </row>
    <row r="21" spans="1:11" ht="12.75">
      <c r="A21" t="s">
        <v>116</v>
      </c>
      <c r="B21" t="s">
        <v>117</v>
      </c>
      <c r="C21">
        <v>1</v>
      </c>
      <c r="E21">
        <v>4</v>
      </c>
      <c r="F21">
        <v>2</v>
      </c>
      <c r="G21">
        <v>6</v>
      </c>
      <c r="H21">
        <v>1.38</v>
      </c>
      <c r="I21">
        <v>2</v>
      </c>
      <c r="J21">
        <v>15</v>
      </c>
      <c r="K21">
        <v>1.12</v>
      </c>
    </row>
    <row r="22" spans="1:11" ht="12.75">
      <c r="A22" t="s">
        <v>70</v>
      </c>
      <c r="B22" t="s">
        <v>71</v>
      </c>
      <c r="C22">
        <v>1</v>
      </c>
      <c r="E22">
        <v>2</v>
      </c>
      <c r="F22">
        <v>3</v>
      </c>
      <c r="G22">
        <v>5</v>
      </c>
      <c r="H22">
        <v>1.15</v>
      </c>
      <c r="I22">
        <v>6</v>
      </c>
      <c r="J22">
        <v>28</v>
      </c>
      <c r="K22">
        <v>1.34</v>
      </c>
    </row>
    <row r="23" spans="1:11" ht="12.75">
      <c r="A23" t="s">
        <v>158</v>
      </c>
      <c r="B23" t="s">
        <v>159</v>
      </c>
      <c r="C23">
        <v>1</v>
      </c>
      <c r="E23">
        <v>2</v>
      </c>
      <c r="F23">
        <v>5</v>
      </c>
      <c r="G23">
        <v>7</v>
      </c>
      <c r="H23">
        <v>1.62</v>
      </c>
      <c r="I23">
        <v>1</v>
      </c>
      <c r="J23">
        <v>7</v>
      </c>
      <c r="K23">
        <v>0.52</v>
      </c>
    </row>
    <row r="24" spans="1:11" ht="12.75">
      <c r="A24" t="s">
        <v>160</v>
      </c>
      <c r="B24" t="s">
        <v>161</v>
      </c>
      <c r="C24">
        <v>1</v>
      </c>
      <c r="E24">
        <v>5</v>
      </c>
      <c r="F24">
        <v>4</v>
      </c>
      <c r="G24">
        <v>9</v>
      </c>
      <c r="H24">
        <v>2.08</v>
      </c>
      <c r="I24">
        <v>1</v>
      </c>
      <c r="J24">
        <v>9</v>
      </c>
      <c r="K24">
        <v>0.67</v>
      </c>
    </row>
    <row r="25" spans="1:11" ht="12.75">
      <c r="A25" s="6" t="s">
        <v>162</v>
      </c>
      <c r="B25" t="s">
        <v>163</v>
      </c>
      <c r="C25">
        <v>1</v>
      </c>
      <c r="E25">
        <v>0</v>
      </c>
      <c r="F25">
        <v>3</v>
      </c>
      <c r="G25">
        <v>3</v>
      </c>
      <c r="H25">
        <v>0.69</v>
      </c>
      <c r="I25">
        <v>1</v>
      </c>
      <c r="J25">
        <v>3</v>
      </c>
      <c r="K25">
        <v>0.22</v>
      </c>
    </row>
    <row r="26" spans="1:12" ht="12.75">
      <c r="A26" t="s">
        <v>103</v>
      </c>
      <c r="B26" t="s">
        <v>96</v>
      </c>
      <c r="C26">
        <v>1</v>
      </c>
      <c r="I26">
        <v>12</v>
      </c>
      <c r="J26">
        <v>69</v>
      </c>
      <c r="K26" s="7">
        <v>5.17</v>
      </c>
      <c r="L26" t="s">
        <v>164</v>
      </c>
    </row>
    <row r="27" spans="1:11" ht="12.75">
      <c r="A27" t="s">
        <v>55</v>
      </c>
      <c r="B27" t="s">
        <v>56</v>
      </c>
      <c r="C27">
        <v>1</v>
      </c>
      <c r="D27">
        <v>1</v>
      </c>
      <c r="I27">
        <v>18</v>
      </c>
      <c r="J27">
        <v>71</v>
      </c>
      <c r="K27">
        <v>2.69</v>
      </c>
    </row>
    <row r="28" spans="1:11" ht="12.75">
      <c r="A28" t="s">
        <v>165</v>
      </c>
      <c r="B28" t="s">
        <v>166</v>
      </c>
      <c r="C28">
        <v>1</v>
      </c>
      <c r="D28">
        <v>1</v>
      </c>
      <c r="I28">
        <v>1</v>
      </c>
      <c r="J28">
        <v>0</v>
      </c>
      <c r="K28">
        <v>0</v>
      </c>
    </row>
    <row r="29" spans="1:11" ht="12.75">
      <c r="A29" t="s">
        <v>136</v>
      </c>
      <c r="B29" t="s">
        <v>137</v>
      </c>
      <c r="C29">
        <v>1</v>
      </c>
      <c r="D29">
        <v>1</v>
      </c>
      <c r="I29">
        <v>2</v>
      </c>
      <c r="J29">
        <v>0</v>
      </c>
      <c r="K29">
        <v>0</v>
      </c>
    </row>
    <row r="30" spans="1:11" ht="12.75">
      <c r="A30" t="s">
        <v>167</v>
      </c>
      <c r="B30" t="s">
        <v>168</v>
      </c>
      <c r="C30">
        <v>1</v>
      </c>
      <c r="D30">
        <v>1</v>
      </c>
      <c r="I30">
        <v>1</v>
      </c>
      <c r="J30">
        <v>0</v>
      </c>
      <c r="K30">
        <v>0</v>
      </c>
    </row>
    <row r="31" spans="1:8" ht="12.75">
      <c r="A31" s="6" t="s">
        <v>140</v>
      </c>
      <c r="B31" s="6"/>
      <c r="C31" s="6">
        <v>7</v>
      </c>
      <c r="D31" s="6"/>
      <c r="E31" s="6">
        <v>20</v>
      </c>
      <c r="F31" s="6">
        <v>23</v>
      </c>
      <c r="G31" s="6">
        <v>43</v>
      </c>
      <c r="H31">
        <v>9.95</v>
      </c>
    </row>
    <row r="32" spans="1:7" ht="12.75">
      <c r="A32" s="2" t="s">
        <v>8</v>
      </c>
      <c r="B32" s="2"/>
      <c r="C32" s="2">
        <v>72</v>
      </c>
      <c r="D32" s="2">
        <v>12</v>
      </c>
      <c r="E32" s="2">
        <v>212</v>
      </c>
      <c r="F32" s="2">
        <v>220</v>
      </c>
      <c r="G32" s="2">
        <v>432</v>
      </c>
    </row>
    <row r="33" spans="1:2" ht="12.75">
      <c r="A33" s="2" t="s">
        <v>51</v>
      </c>
      <c r="B33" s="2">
        <v>62.22</v>
      </c>
    </row>
    <row r="36" spans="1:3" ht="12.75">
      <c r="A36" t="s">
        <v>141</v>
      </c>
      <c r="B36" s="9">
        <f>28+7-6</f>
        <v>29</v>
      </c>
      <c r="C36">
        <v>21</v>
      </c>
    </row>
    <row r="37" spans="1:2" ht="12.75">
      <c r="A37" t="s">
        <v>169</v>
      </c>
      <c r="B37">
        <v>60</v>
      </c>
    </row>
    <row r="40" spans="2:3" ht="12.75">
      <c r="B40" s="9">
        <f>4*(B36*B37)/(B36+B37)</f>
        <v>78.20224719101124</v>
      </c>
      <c r="C40" s="9">
        <f>4*(C36*B37)/(C36+B37)</f>
        <v>62.22222222222222</v>
      </c>
    </row>
    <row r="42" ht="12.75">
      <c r="A42" t="s">
        <v>170</v>
      </c>
    </row>
    <row r="43" ht="12.75">
      <c r="A43" t="s">
        <v>171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zoomScalePageLayoutView="0" workbookViewId="0" topLeftCell="A25">
      <selection activeCell="B40" sqref="B40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8515625" style="0" customWidth="1"/>
    <col min="11" max="11" width="12.28125" style="0" customWidth="1"/>
    <col min="12" max="12" width="28.421875" style="0" customWidth="1"/>
  </cols>
  <sheetData>
    <row r="1" spans="1:10" ht="15">
      <c r="A1" s="1" t="s">
        <v>0</v>
      </c>
      <c r="I1" s="2" t="s">
        <v>1</v>
      </c>
      <c r="J1" s="2" t="s">
        <v>1</v>
      </c>
    </row>
    <row r="2" spans="1:12" ht="15.75" customHeight="1">
      <c r="A2" s="3" t="s">
        <v>172</v>
      </c>
      <c r="B2" s="4" t="s">
        <v>3</v>
      </c>
      <c r="C2" s="4" t="s">
        <v>4</v>
      </c>
      <c r="D2" s="4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5" t="s">
        <v>11</v>
      </c>
      <c r="K2" s="5" t="s">
        <v>12</v>
      </c>
      <c r="L2" s="2" t="s">
        <v>173</v>
      </c>
    </row>
    <row r="3" spans="1:11" ht="12.75">
      <c r="A3" s="6" t="s">
        <v>82</v>
      </c>
      <c r="B3" s="6" t="s">
        <v>54</v>
      </c>
      <c r="C3" s="6">
        <v>6</v>
      </c>
      <c r="D3" s="6"/>
      <c r="E3" s="6">
        <v>29</v>
      </c>
      <c r="F3" s="6">
        <v>19</v>
      </c>
      <c r="G3" s="6">
        <v>48</v>
      </c>
      <c r="H3" s="6">
        <v>12.4</v>
      </c>
      <c r="I3" s="6">
        <v>32</v>
      </c>
      <c r="J3" s="6">
        <v>255</v>
      </c>
      <c r="K3" s="7">
        <v>12.01</v>
      </c>
    </row>
    <row r="4" spans="1:11" ht="12.75">
      <c r="A4" t="s">
        <v>103</v>
      </c>
      <c r="B4" t="s">
        <v>96</v>
      </c>
      <c r="C4">
        <v>5</v>
      </c>
      <c r="D4">
        <v>1</v>
      </c>
      <c r="E4">
        <v>17</v>
      </c>
      <c r="F4">
        <v>13</v>
      </c>
      <c r="G4">
        <v>30</v>
      </c>
      <c r="H4">
        <v>7.75</v>
      </c>
      <c r="I4">
        <v>17</v>
      </c>
      <c r="J4">
        <v>99</v>
      </c>
      <c r="K4">
        <v>3.35</v>
      </c>
    </row>
    <row r="5" spans="1:11" ht="12.75">
      <c r="A5" t="s">
        <v>174</v>
      </c>
      <c r="B5" t="s">
        <v>175</v>
      </c>
      <c r="C5">
        <v>4</v>
      </c>
      <c r="E5">
        <v>17</v>
      </c>
      <c r="F5">
        <v>14</v>
      </c>
      <c r="G5">
        <v>31</v>
      </c>
      <c r="H5">
        <v>8.01</v>
      </c>
      <c r="I5">
        <v>4</v>
      </c>
      <c r="J5">
        <v>31</v>
      </c>
      <c r="K5">
        <v>1.99</v>
      </c>
    </row>
    <row r="6" spans="1:11" ht="12.75">
      <c r="A6" t="s">
        <v>148</v>
      </c>
      <c r="B6" t="s">
        <v>149</v>
      </c>
      <c r="C6">
        <v>3</v>
      </c>
      <c r="E6">
        <v>11</v>
      </c>
      <c r="F6">
        <v>19</v>
      </c>
      <c r="G6">
        <v>30</v>
      </c>
      <c r="H6">
        <v>7.75</v>
      </c>
      <c r="I6">
        <v>7</v>
      </c>
      <c r="J6">
        <v>59</v>
      </c>
      <c r="K6">
        <v>3.78</v>
      </c>
    </row>
    <row r="7" spans="1:11" ht="12.75">
      <c r="A7" t="s">
        <v>26</v>
      </c>
      <c r="B7" t="s">
        <v>130</v>
      </c>
      <c r="C7">
        <v>3</v>
      </c>
      <c r="E7">
        <v>12</v>
      </c>
      <c r="F7">
        <v>16</v>
      </c>
      <c r="G7">
        <v>28</v>
      </c>
      <c r="H7">
        <v>7.23</v>
      </c>
      <c r="I7">
        <v>10</v>
      </c>
      <c r="J7">
        <v>65</v>
      </c>
      <c r="K7">
        <v>4.17</v>
      </c>
    </row>
    <row r="8" spans="1:11" ht="12.75">
      <c r="A8" t="s">
        <v>176</v>
      </c>
      <c r="B8" t="s">
        <v>177</v>
      </c>
      <c r="C8">
        <v>3</v>
      </c>
      <c r="E8">
        <v>18</v>
      </c>
      <c r="F8">
        <v>12</v>
      </c>
      <c r="G8">
        <v>30</v>
      </c>
      <c r="H8">
        <v>7.75</v>
      </c>
      <c r="I8">
        <v>3</v>
      </c>
      <c r="J8">
        <v>30</v>
      </c>
      <c r="K8">
        <v>1.92</v>
      </c>
    </row>
    <row r="9" spans="1:11" ht="12.75">
      <c r="A9" t="s">
        <v>83</v>
      </c>
      <c r="B9" t="s">
        <v>84</v>
      </c>
      <c r="C9">
        <v>3</v>
      </c>
      <c r="E9">
        <v>15</v>
      </c>
      <c r="F9">
        <v>10</v>
      </c>
      <c r="G9">
        <v>25</v>
      </c>
      <c r="H9">
        <v>6.45</v>
      </c>
      <c r="I9">
        <v>16</v>
      </c>
      <c r="J9">
        <v>108</v>
      </c>
      <c r="K9" s="7">
        <v>6.35</v>
      </c>
    </row>
    <row r="10" spans="1:11" ht="12.75">
      <c r="A10" t="s">
        <v>123</v>
      </c>
      <c r="B10" t="s">
        <v>124</v>
      </c>
      <c r="C10">
        <v>3</v>
      </c>
      <c r="E10">
        <v>16</v>
      </c>
      <c r="F10">
        <v>9</v>
      </c>
      <c r="G10">
        <v>25</v>
      </c>
      <c r="H10">
        <v>6.45</v>
      </c>
      <c r="I10">
        <v>9</v>
      </c>
      <c r="J10">
        <v>73</v>
      </c>
      <c r="K10">
        <v>4.68</v>
      </c>
    </row>
    <row r="11" spans="1:11" ht="12.75">
      <c r="A11" t="s">
        <v>106</v>
      </c>
      <c r="B11" t="s">
        <v>107</v>
      </c>
      <c r="C11">
        <v>2</v>
      </c>
      <c r="E11">
        <v>11</v>
      </c>
      <c r="F11">
        <v>6</v>
      </c>
      <c r="G11">
        <v>17</v>
      </c>
      <c r="H11">
        <v>4.39</v>
      </c>
      <c r="I11">
        <v>10</v>
      </c>
      <c r="J11">
        <v>73</v>
      </c>
      <c r="K11">
        <v>4.68</v>
      </c>
    </row>
    <row r="12" spans="1:11" ht="12.75">
      <c r="A12" t="s">
        <v>76</v>
      </c>
      <c r="B12" t="s">
        <v>77</v>
      </c>
      <c r="C12">
        <v>2</v>
      </c>
      <c r="E12">
        <v>7</v>
      </c>
      <c r="F12">
        <v>5</v>
      </c>
      <c r="G12">
        <v>12</v>
      </c>
      <c r="H12">
        <v>3.1</v>
      </c>
      <c r="I12">
        <v>10</v>
      </c>
      <c r="J12">
        <v>63</v>
      </c>
      <c r="K12">
        <v>3.14</v>
      </c>
    </row>
    <row r="13" spans="1:11" ht="12.75">
      <c r="A13" t="s">
        <v>114</v>
      </c>
      <c r="B13" t="s">
        <v>115</v>
      </c>
      <c r="C13">
        <v>2</v>
      </c>
      <c r="E13">
        <v>5</v>
      </c>
      <c r="F13">
        <v>3</v>
      </c>
      <c r="G13">
        <v>8</v>
      </c>
      <c r="H13">
        <v>2.06</v>
      </c>
      <c r="I13">
        <v>3</v>
      </c>
      <c r="J13">
        <v>19</v>
      </c>
      <c r="K13">
        <v>1.22</v>
      </c>
    </row>
    <row r="14" spans="1:11" ht="12.75">
      <c r="A14" t="s">
        <v>178</v>
      </c>
      <c r="B14" t="s">
        <v>179</v>
      </c>
      <c r="C14">
        <v>2</v>
      </c>
      <c r="D14" t="s">
        <v>180</v>
      </c>
      <c r="E14">
        <v>2</v>
      </c>
      <c r="F14">
        <v>4</v>
      </c>
      <c r="G14">
        <v>6</v>
      </c>
      <c r="H14">
        <v>1.55</v>
      </c>
      <c r="I14">
        <v>2</v>
      </c>
      <c r="J14">
        <v>6</v>
      </c>
      <c r="K14">
        <v>0.38</v>
      </c>
    </row>
    <row r="15" spans="1:11" ht="12.75">
      <c r="A15" t="s">
        <v>181</v>
      </c>
      <c r="B15" t="s">
        <v>182</v>
      </c>
      <c r="C15">
        <v>2</v>
      </c>
      <c r="D15">
        <v>1</v>
      </c>
      <c r="E15">
        <v>3</v>
      </c>
      <c r="F15">
        <v>6</v>
      </c>
      <c r="G15">
        <v>9</v>
      </c>
      <c r="H15">
        <v>2.32</v>
      </c>
      <c r="I15">
        <v>2</v>
      </c>
      <c r="J15">
        <v>9</v>
      </c>
      <c r="K15">
        <v>0.57</v>
      </c>
    </row>
    <row r="16" spans="1:11" ht="12.75">
      <c r="A16" t="s">
        <v>70</v>
      </c>
      <c r="B16" t="s">
        <v>71</v>
      </c>
      <c r="C16">
        <v>2</v>
      </c>
      <c r="D16">
        <v>1</v>
      </c>
      <c r="E16">
        <v>3</v>
      </c>
      <c r="F16">
        <v>4</v>
      </c>
      <c r="G16">
        <v>7</v>
      </c>
      <c r="H16">
        <v>1.8</v>
      </c>
      <c r="I16">
        <v>8</v>
      </c>
      <c r="J16">
        <v>35</v>
      </c>
      <c r="K16">
        <v>1.6</v>
      </c>
    </row>
    <row r="17" spans="1:11" ht="12.75">
      <c r="A17" t="s">
        <v>165</v>
      </c>
      <c r="B17" t="s">
        <v>166</v>
      </c>
      <c r="C17">
        <v>2</v>
      </c>
      <c r="D17">
        <v>2</v>
      </c>
      <c r="I17">
        <v>3</v>
      </c>
      <c r="J17">
        <v>0</v>
      </c>
      <c r="K17">
        <v>0</v>
      </c>
    </row>
    <row r="18" spans="1:11" ht="12.75">
      <c r="A18" t="s">
        <v>183</v>
      </c>
      <c r="B18" t="s">
        <v>184</v>
      </c>
      <c r="C18">
        <v>1</v>
      </c>
      <c r="E18">
        <v>6</v>
      </c>
      <c r="F18">
        <v>5</v>
      </c>
      <c r="G18">
        <v>11</v>
      </c>
      <c r="H18">
        <v>2.84</v>
      </c>
      <c r="I18">
        <v>1</v>
      </c>
      <c r="J18">
        <v>11</v>
      </c>
      <c r="K18">
        <v>0.7</v>
      </c>
    </row>
    <row r="19" spans="1:11" ht="12.75">
      <c r="A19" t="s">
        <v>162</v>
      </c>
      <c r="B19" t="s">
        <v>163</v>
      </c>
      <c r="C19">
        <v>1</v>
      </c>
      <c r="E19">
        <v>4</v>
      </c>
      <c r="F19">
        <v>3</v>
      </c>
      <c r="G19">
        <v>7</v>
      </c>
      <c r="H19">
        <v>1.8</v>
      </c>
      <c r="I19">
        <v>2</v>
      </c>
      <c r="J19">
        <v>10</v>
      </c>
      <c r="K19">
        <v>0.67</v>
      </c>
    </row>
    <row r="20" spans="1:11" ht="12.75">
      <c r="A20" t="s">
        <v>185</v>
      </c>
      <c r="B20" t="s">
        <v>186</v>
      </c>
      <c r="C20">
        <v>1</v>
      </c>
      <c r="E20">
        <v>2</v>
      </c>
      <c r="F20">
        <v>3</v>
      </c>
      <c r="G20">
        <v>5</v>
      </c>
      <c r="H20">
        <v>1.29</v>
      </c>
      <c r="I20">
        <v>1</v>
      </c>
      <c r="J20">
        <v>5</v>
      </c>
      <c r="K20">
        <v>0.32</v>
      </c>
    </row>
    <row r="21" spans="1:11" ht="12.75">
      <c r="A21" t="s">
        <v>93</v>
      </c>
      <c r="B21" t="s">
        <v>94</v>
      </c>
      <c r="C21">
        <v>1</v>
      </c>
      <c r="E21">
        <v>3</v>
      </c>
      <c r="F21">
        <v>3</v>
      </c>
      <c r="G21">
        <v>6</v>
      </c>
      <c r="H21">
        <v>1.55</v>
      </c>
      <c r="I21">
        <v>11</v>
      </c>
      <c r="J21">
        <v>83</v>
      </c>
      <c r="K21" s="7">
        <v>5.33</v>
      </c>
    </row>
    <row r="22" spans="1:11" ht="12.75">
      <c r="A22" t="s">
        <v>150</v>
      </c>
      <c r="B22" t="s">
        <v>151</v>
      </c>
      <c r="C22">
        <v>1</v>
      </c>
      <c r="E22">
        <v>3</v>
      </c>
      <c r="F22">
        <v>3</v>
      </c>
      <c r="G22">
        <v>6</v>
      </c>
      <c r="H22">
        <v>1.55</v>
      </c>
      <c r="I22">
        <v>4</v>
      </c>
      <c r="J22">
        <v>22</v>
      </c>
      <c r="K22">
        <v>1.41</v>
      </c>
    </row>
    <row r="23" spans="1:11" ht="12.75">
      <c r="A23" t="s">
        <v>187</v>
      </c>
      <c r="B23" t="s">
        <v>188</v>
      </c>
      <c r="C23">
        <v>1</v>
      </c>
      <c r="E23">
        <v>3</v>
      </c>
      <c r="F23">
        <v>5</v>
      </c>
      <c r="G23">
        <v>8</v>
      </c>
      <c r="H23">
        <v>2.06</v>
      </c>
      <c r="I23">
        <v>1</v>
      </c>
      <c r="J23">
        <v>8</v>
      </c>
      <c r="K23">
        <v>0.51</v>
      </c>
    </row>
    <row r="24" spans="1:11" ht="12.75">
      <c r="A24" t="s">
        <v>158</v>
      </c>
      <c r="B24" t="s">
        <v>159</v>
      </c>
      <c r="C24">
        <v>1</v>
      </c>
      <c r="E24">
        <v>5</v>
      </c>
      <c r="F24">
        <v>1</v>
      </c>
      <c r="G24">
        <v>6</v>
      </c>
      <c r="H24">
        <v>1.55</v>
      </c>
      <c r="I24">
        <v>2</v>
      </c>
      <c r="J24">
        <v>13</v>
      </c>
      <c r="K24">
        <v>0.83</v>
      </c>
    </row>
    <row r="25" spans="1:11" ht="12.75">
      <c r="A25" s="6" t="s">
        <v>189</v>
      </c>
      <c r="B25" t="s">
        <v>190</v>
      </c>
      <c r="C25">
        <v>1</v>
      </c>
      <c r="E25">
        <v>3</v>
      </c>
      <c r="F25">
        <v>3</v>
      </c>
      <c r="G25">
        <v>6</v>
      </c>
      <c r="H25">
        <v>1.55</v>
      </c>
      <c r="I25">
        <v>1</v>
      </c>
      <c r="J25">
        <v>6</v>
      </c>
      <c r="K25">
        <v>0.38</v>
      </c>
    </row>
    <row r="26" spans="1:11" ht="12.75">
      <c r="A26" t="s">
        <v>191</v>
      </c>
      <c r="B26" t="s">
        <v>192</v>
      </c>
      <c r="C26">
        <v>1</v>
      </c>
      <c r="E26">
        <v>1</v>
      </c>
      <c r="F26">
        <v>1</v>
      </c>
      <c r="G26">
        <v>2</v>
      </c>
      <c r="H26">
        <v>0.51</v>
      </c>
      <c r="I26">
        <v>1</v>
      </c>
      <c r="J26">
        <v>2</v>
      </c>
      <c r="K26">
        <v>0.12</v>
      </c>
    </row>
    <row r="27" spans="1:11" ht="12.75">
      <c r="A27" t="s">
        <v>193</v>
      </c>
      <c r="B27" t="s">
        <v>194</v>
      </c>
      <c r="C27">
        <v>1</v>
      </c>
      <c r="E27">
        <v>4</v>
      </c>
      <c r="F27">
        <v>4</v>
      </c>
      <c r="G27">
        <v>8</v>
      </c>
      <c r="H27">
        <v>2.06</v>
      </c>
      <c r="I27">
        <v>1</v>
      </c>
      <c r="J27">
        <v>8</v>
      </c>
      <c r="K27">
        <v>0.51</v>
      </c>
    </row>
    <row r="28" spans="1:11" ht="12.75">
      <c r="A28" t="s">
        <v>156</v>
      </c>
      <c r="B28" t="s">
        <v>195</v>
      </c>
      <c r="C28">
        <v>1</v>
      </c>
      <c r="E28">
        <v>5</v>
      </c>
      <c r="F28">
        <v>3</v>
      </c>
      <c r="G28">
        <v>8</v>
      </c>
      <c r="H28">
        <v>2.06</v>
      </c>
      <c r="I28">
        <v>2</v>
      </c>
      <c r="J28">
        <v>18</v>
      </c>
      <c r="K28">
        <v>1.15</v>
      </c>
    </row>
    <row r="29" spans="1:11" ht="12.75">
      <c r="A29" t="s">
        <v>196</v>
      </c>
      <c r="B29" t="s">
        <v>197</v>
      </c>
      <c r="C29">
        <v>1</v>
      </c>
      <c r="E29">
        <v>4</v>
      </c>
      <c r="F29">
        <v>4</v>
      </c>
      <c r="G29">
        <v>8</v>
      </c>
      <c r="H29">
        <v>2.06</v>
      </c>
      <c r="I29">
        <v>1</v>
      </c>
      <c r="J29">
        <v>8</v>
      </c>
      <c r="K29">
        <v>0.51</v>
      </c>
    </row>
    <row r="30" spans="1:11" ht="12.75">
      <c r="A30" t="s">
        <v>62</v>
      </c>
      <c r="B30" t="s">
        <v>87</v>
      </c>
      <c r="C30">
        <v>1</v>
      </c>
      <c r="D30">
        <v>1</v>
      </c>
      <c r="I30">
        <v>10</v>
      </c>
      <c r="J30">
        <v>43</v>
      </c>
      <c r="K30">
        <v>2.89</v>
      </c>
    </row>
    <row r="31" spans="1:11" ht="12.75">
      <c r="A31" t="s">
        <v>80</v>
      </c>
      <c r="B31" t="s">
        <v>81</v>
      </c>
      <c r="C31">
        <v>1</v>
      </c>
      <c r="D31">
        <v>1</v>
      </c>
      <c r="I31">
        <v>4</v>
      </c>
      <c r="J31">
        <v>20</v>
      </c>
      <c r="K31">
        <v>1.28</v>
      </c>
    </row>
    <row r="32" spans="1:11" ht="12.75">
      <c r="A32" t="s">
        <v>160</v>
      </c>
      <c r="B32" t="s">
        <v>161</v>
      </c>
      <c r="C32">
        <v>1</v>
      </c>
      <c r="D32">
        <v>1</v>
      </c>
      <c r="I32">
        <v>2</v>
      </c>
      <c r="J32">
        <v>9</v>
      </c>
      <c r="K32">
        <v>0.57</v>
      </c>
    </row>
    <row r="33" spans="1:12" ht="12.75">
      <c r="A33" t="s">
        <v>198</v>
      </c>
      <c r="B33" t="s">
        <v>199</v>
      </c>
      <c r="C33">
        <v>1</v>
      </c>
      <c r="I33">
        <v>1</v>
      </c>
      <c r="J33">
        <v>0</v>
      </c>
      <c r="K33">
        <v>0</v>
      </c>
      <c r="L33" t="s">
        <v>200</v>
      </c>
    </row>
    <row r="34" spans="1:7" ht="12.75">
      <c r="A34" s="2" t="s">
        <v>8</v>
      </c>
      <c r="C34" s="2">
        <v>61</v>
      </c>
      <c r="D34" s="2">
        <v>6</v>
      </c>
      <c r="E34" s="2">
        <v>209</v>
      </c>
      <c r="F34" s="2">
        <v>178</v>
      </c>
      <c r="G34" s="2">
        <v>387</v>
      </c>
    </row>
    <row r="35" spans="1:2" ht="12.75">
      <c r="A35" s="2" t="s">
        <v>51</v>
      </c>
      <c r="B35" s="2">
        <v>70.61</v>
      </c>
    </row>
    <row r="39" spans="1:2" ht="12.75">
      <c r="A39" t="s">
        <v>141</v>
      </c>
      <c r="B39" s="9">
        <f>31-4</f>
        <v>27</v>
      </c>
    </row>
    <row r="40" spans="1:2" ht="12.75">
      <c r="A40" t="s">
        <v>142</v>
      </c>
      <c r="B40" s="9">
        <f>61-8</f>
        <v>53</v>
      </c>
    </row>
    <row r="42" ht="12.75">
      <c r="B42" s="9">
        <f>4*(B39*B40)/(B39+B40)</f>
        <v>71.55</v>
      </c>
    </row>
  </sheetData>
  <sheetProtection selectLockedCells="1" selectUnlockedCells="1"/>
  <printOptions gridLines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Riishoej, Rune (SGRE COG P ON EMEA TP DD)</dc:creator>
  <cp:keywords/>
  <dc:description/>
  <cp:lastModifiedBy>Riishoej, Rune (SGRE COG P ON EMEA TP DD)</cp:lastModifiedBy>
  <dcterms:created xsi:type="dcterms:W3CDTF">2021-06-12T20:37:01Z</dcterms:created>
  <dcterms:modified xsi:type="dcterms:W3CDTF">2021-06-12T20:37:02Z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13f521-439d-4e48-8e98-41ab6c596aa7_Enabled">
    <vt:lpwstr>true</vt:lpwstr>
  </property>
  <property fmtid="{D5CDD505-2E9C-101B-9397-08002B2CF9AE}" pid="3" name="MSIP_Label_6013f521-439d-4e48-8e98-41ab6c596aa7_SetDate">
    <vt:lpwstr>2021-06-12T20:36:19Z</vt:lpwstr>
  </property>
  <property fmtid="{D5CDD505-2E9C-101B-9397-08002B2CF9AE}" pid="4" name="MSIP_Label_6013f521-439d-4e48-8e98-41ab6c596aa7_Method">
    <vt:lpwstr>Standard</vt:lpwstr>
  </property>
  <property fmtid="{D5CDD505-2E9C-101B-9397-08002B2CF9AE}" pid="5" name="MSIP_Label_6013f521-439d-4e48-8e98-41ab6c596aa7_Name">
    <vt:lpwstr>6013f521-439d-4e48-8e98-41ab6c596aa7</vt:lpwstr>
  </property>
  <property fmtid="{D5CDD505-2E9C-101B-9397-08002B2CF9AE}" pid="6" name="MSIP_Label_6013f521-439d-4e48-8e98-41ab6c596aa7_SiteId">
    <vt:lpwstr>12f921d8-f30d-4596-a652-7045b338485a</vt:lpwstr>
  </property>
  <property fmtid="{D5CDD505-2E9C-101B-9397-08002B2CF9AE}" pid="7" name="MSIP_Label_6013f521-439d-4e48-8e98-41ab6c596aa7_ActionId">
    <vt:lpwstr>0418b1d9-fdce-4a65-bd92-e506a8c73265</vt:lpwstr>
  </property>
  <property fmtid="{D5CDD505-2E9C-101B-9397-08002B2CF9AE}" pid="8" name="MSIP_Label_6013f521-439d-4e48-8e98-41ab6c596aa7_ContentBits">
    <vt:lpwstr>0</vt:lpwstr>
  </property>
  <property fmtid="{D5CDD505-2E9C-101B-9397-08002B2CF9AE}" pid="9" name="ContentTypeId">
    <vt:lpwstr>0x0101004CCE49C1A707634DA7A6EB95FD39B195</vt:lpwstr>
  </property>
</Properties>
</file>